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tevewinder12/ Steve/ Word/Manuscripts/2018/Plos Curr MD/"/>
    </mc:Choice>
  </mc:AlternateContent>
  <xr:revisionPtr revIDLastSave="0" documentId="13_ncr:1_{C2BF2A69-1B54-8541-8178-7E54B19E7CD2}" xr6:coauthVersionLast="28" xr6:coauthVersionMax="28" xr10:uidLastSave="{00000000-0000-0000-0000-000000000000}"/>
  <bookViews>
    <workbookView xWindow="2080" yWindow="760" windowWidth="34220" windowHeight="23240" activeTab="1" xr2:uid="{00000000-000D-0000-FFFF-FFFF00000000}"/>
  </bookViews>
  <sheets>
    <sheet name="Hang time raw data" sheetId="2" r:id="rId1"/>
    <sheet name="Hang time mean, max etc" sheetId="4" r:id="rId2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16" i="4" l="1"/>
  <c r="AV16" i="4" s="1"/>
  <c r="AO56" i="4"/>
  <c r="AR56" i="4"/>
  <c r="AV56" i="4" s="1"/>
  <c r="AX56" i="4" s="1"/>
  <c r="F56" i="4"/>
  <c r="J56" i="4"/>
  <c r="K56" i="4" s="1"/>
  <c r="AR57" i="4"/>
  <c r="AV57" i="4" s="1"/>
  <c r="F57" i="4"/>
  <c r="J57" i="4"/>
  <c r="K57" i="4" s="1"/>
  <c r="AX57" i="4"/>
  <c r="AR58" i="4"/>
  <c r="AV58" i="4"/>
  <c r="F58" i="4"/>
  <c r="J58" i="4"/>
  <c r="K58" i="4" s="1"/>
  <c r="AO59" i="4"/>
  <c r="AR59" i="4"/>
  <c r="AV59" i="4" s="1"/>
  <c r="AX59" i="4" s="1"/>
  <c r="F59" i="4"/>
  <c r="J59" i="4"/>
  <c r="K59" i="4" s="1"/>
  <c r="AV60" i="4"/>
  <c r="C60" i="4"/>
  <c r="F60" i="4"/>
  <c r="J60" i="4"/>
  <c r="K60" i="4" s="1"/>
  <c r="AV61" i="4"/>
  <c r="F61" i="4"/>
  <c r="J61" i="4"/>
  <c r="K61" i="4" s="1"/>
  <c r="AV62" i="4"/>
  <c r="C62" i="4"/>
  <c r="D62" i="4"/>
  <c r="E62" i="4"/>
  <c r="AE56" i="4"/>
  <c r="AI56" i="4"/>
  <c r="AJ56" i="4"/>
  <c r="AE57" i="4"/>
  <c r="AI57" i="4"/>
  <c r="AJ57" i="4"/>
  <c r="AE58" i="4"/>
  <c r="AI58" i="4" s="1"/>
  <c r="AJ58" i="4"/>
  <c r="AB59" i="4"/>
  <c r="AE59" i="4"/>
  <c r="AI59" i="4" s="1"/>
  <c r="AJ59" i="4"/>
  <c r="AE60" i="4"/>
  <c r="AI60" i="4" s="1"/>
  <c r="AJ60" i="4" s="1"/>
  <c r="AE61" i="4"/>
  <c r="AI61" i="4"/>
  <c r="AJ61" i="4"/>
  <c r="AB62" i="4"/>
  <c r="AE62" i="4"/>
  <c r="AI62" i="4" s="1"/>
  <c r="R55" i="4"/>
  <c r="V55" i="4" s="1"/>
  <c r="F55" i="4"/>
  <c r="R56" i="4"/>
  <c r="V56" i="4"/>
  <c r="W56" i="4" s="1"/>
  <c r="R57" i="4"/>
  <c r="V57" i="4"/>
  <c r="W57" i="4"/>
  <c r="R58" i="4"/>
  <c r="V58" i="4" s="1"/>
  <c r="W58" i="4"/>
  <c r="R59" i="4"/>
  <c r="V59" i="4"/>
  <c r="W59" i="4" s="1"/>
  <c r="R60" i="4"/>
  <c r="V60" i="4"/>
  <c r="W60" i="4" s="1"/>
  <c r="R61" i="4"/>
  <c r="V61" i="4"/>
  <c r="W61" i="4"/>
  <c r="O62" i="4"/>
  <c r="R62" i="4" s="1"/>
  <c r="V62" i="4" s="1"/>
  <c r="AO42" i="4"/>
  <c r="AR42" i="4" s="1"/>
  <c r="AV42" i="4" s="1"/>
  <c r="AX42" i="4" s="1"/>
  <c r="F42" i="4"/>
  <c r="J42" i="4"/>
  <c r="K42" i="4" s="1"/>
  <c r="AR43" i="4"/>
  <c r="AV43" i="4" s="1"/>
  <c r="F43" i="4"/>
  <c r="J43" i="4" s="1"/>
  <c r="K43" i="4" s="1"/>
  <c r="AO44" i="4"/>
  <c r="AR44" i="4"/>
  <c r="AV44" i="4" s="1"/>
  <c r="AX44" i="4" s="1"/>
  <c r="F44" i="4"/>
  <c r="J44" i="4" s="1"/>
  <c r="K44" i="4" s="1"/>
  <c r="AO45" i="4"/>
  <c r="AR45" i="4" s="1"/>
  <c r="AV45" i="4" s="1"/>
  <c r="F45" i="4"/>
  <c r="J45" i="4" s="1"/>
  <c r="K45" i="4" s="1"/>
  <c r="AO46" i="4"/>
  <c r="AR46" i="4"/>
  <c r="AV46" i="4" s="1"/>
  <c r="AX46" i="4" s="1"/>
  <c r="F46" i="4"/>
  <c r="J46" i="4" s="1"/>
  <c r="K46" i="4" s="1"/>
  <c r="AR47" i="4"/>
  <c r="AV47" i="4" s="1"/>
  <c r="AX47" i="4" s="1"/>
  <c r="F47" i="4"/>
  <c r="J47" i="4"/>
  <c r="K47" i="4" s="1"/>
  <c r="AV48" i="4"/>
  <c r="C48" i="4"/>
  <c r="F48" i="4"/>
  <c r="J48" i="4" s="1"/>
  <c r="AV49" i="4"/>
  <c r="C49" i="4"/>
  <c r="F49" i="4" s="1"/>
  <c r="J49" i="4" s="1"/>
  <c r="E49" i="4"/>
  <c r="AE42" i="4"/>
  <c r="AI42" i="4"/>
  <c r="AJ42" i="4" s="1"/>
  <c r="AE43" i="4"/>
  <c r="AI43" i="4" s="1"/>
  <c r="AJ43" i="4" s="1"/>
  <c r="AE44" i="4"/>
  <c r="AI44" i="4" s="1"/>
  <c r="AJ44" i="4" s="1"/>
  <c r="AE45" i="4"/>
  <c r="AI45" i="4" s="1"/>
  <c r="AB46" i="4"/>
  <c r="AE46" i="4"/>
  <c r="AI46" i="4" s="1"/>
  <c r="AJ46" i="4" s="1"/>
  <c r="AE47" i="4"/>
  <c r="AI47" i="4"/>
  <c r="AJ47" i="4" s="1"/>
  <c r="AB48" i="4"/>
  <c r="AE48" i="4" s="1"/>
  <c r="AI48" i="4" s="1"/>
  <c r="AJ48" i="4" s="1"/>
  <c r="AE49" i="4"/>
  <c r="AI49" i="4" s="1"/>
  <c r="R42" i="4"/>
  <c r="V42" i="4"/>
  <c r="W42" i="4" s="1"/>
  <c r="R43" i="4"/>
  <c r="V43" i="4" s="1"/>
  <c r="R44" i="4"/>
  <c r="V44" i="4" s="1"/>
  <c r="W44" i="4" s="1"/>
  <c r="R45" i="4"/>
  <c r="V45" i="4" s="1"/>
  <c r="W45" i="4" s="1"/>
  <c r="R46" i="4"/>
  <c r="V46" i="4"/>
  <c r="W46" i="4" s="1"/>
  <c r="R47" i="4"/>
  <c r="V47" i="4" s="1"/>
  <c r="W47" i="4" s="1"/>
  <c r="O48" i="4"/>
  <c r="R48" i="4" s="1"/>
  <c r="Q48" i="4"/>
  <c r="V48" i="4"/>
  <c r="W48" i="4" s="1"/>
  <c r="O49" i="4"/>
  <c r="R49" i="4" s="1"/>
  <c r="V49" i="4" s="1"/>
  <c r="W49" i="4" s="1"/>
  <c r="AO29" i="4"/>
  <c r="AR29" i="4" s="1"/>
  <c r="AV29" i="4" s="1"/>
  <c r="AX29" i="4" s="1"/>
  <c r="F29" i="4"/>
  <c r="J29" i="4"/>
  <c r="K29" i="4" s="1"/>
  <c r="AR30" i="4"/>
  <c r="AV30" i="4" s="1"/>
  <c r="AX30" i="4" s="1"/>
  <c r="F30" i="4"/>
  <c r="J30" i="4"/>
  <c r="K30" i="4" s="1"/>
  <c r="AO31" i="4"/>
  <c r="AR31" i="4"/>
  <c r="AV31" i="4"/>
  <c r="AX31" i="4" s="1"/>
  <c r="F31" i="4"/>
  <c r="J31" i="4" s="1"/>
  <c r="K31" i="4" s="1"/>
  <c r="AO32" i="4"/>
  <c r="AP32" i="4"/>
  <c r="AR32" i="4" s="1"/>
  <c r="AV32" i="4" s="1"/>
  <c r="AX32" i="4" s="1"/>
  <c r="AQ32" i="4"/>
  <c r="F32" i="4"/>
  <c r="J32" i="4" s="1"/>
  <c r="K32" i="4" s="1"/>
  <c r="AO33" i="4"/>
  <c r="AR33" i="4" s="1"/>
  <c r="AV33" i="4" s="1"/>
  <c r="F33" i="4"/>
  <c r="J33" i="4" s="1"/>
  <c r="K33" i="4" s="1"/>
  <c r="AV34" i="4"/>
  <c r="C34" i="4"/>
  <c r="F34" i="4" s="1"/>
  <c r="J34" i="4" s="1"/>
  <c r="E34" i="4"/>
  <c r="AV35" i="4"/>
  <c r="AX35" i="4" s="1"/>
  <c r="C35" i="4"/>
  <c r="F35" i="4" s="1"/>
  <c r="J35" i="4"/>
  <c r="K35" i="4" s="1"/>
  <c r="AV36" i="4"/>
  <c r="C36" i="4"/>
  <c r="F36" i="4"/>
  <c r="J36" i="4" s="1"/>
  <c r="AB29" i="4"/>
  <c r="AE29" i="4" s="1"/>
  <c r="AI29" i="4" s="1"/>
  <c r="AJ29" i="4" s="1"/>
  <c r="AB30" i="4"/>
  <c r="AE30" i="4"/>
  <c r="AI30" i="4" s="1"/>
  <c r="AJ30" i="4" s="1"/>
  <c r="AB31" i="4"/>
  <c r="AE31" i="4"/>
  <c r="AI31" i="4" s="1"/>
  <c r="AJ31" i="4" s="1"/>
  <c r="AB32" i="4"/>
  <c r="AE32" i="4"/>
  <c r="AI32" i="4" s="1"/>
  <c r="AJ32" i="4" s="1"/>
  <c r="AB33" i="4"/>
  <c r="AE33" i="4"/>
  <c r="AI33" i="4" s="1"/>
  <c r="AE34" i="4"/>
  <c r="AI34" i="4"/>
  <c r="AJ34" i="4" s="1"/>
  <c r="AE35" i="4"/>
  <c r="AI35" i="4" s="1"/>
  <c r="AJ35" i="4" s="1"/>
  <c r="AE36" i="4"/>
  <c r="AI36" i="4"/>
  <c r="R29" i="4"/>
  <c r="V29" i="4" s="1"/>
  <c r="W29" i="4" s="1"/>
  <c r="R30" i="4"/>
  <c r="V30" i="4"/>
  <c r="W30" i="4" s="1"/>
  <c r="R31" i="4"/>
  <c r="V31" i="4" s="1"/>
  <c r="W31" i="4" s="1"/>
  <c r="R32" i="4"/>
  <c r="V32" i="4"/>
  <c r="W32" i="4" s="1"/>
  <c r="R33" i="4"/>
  <c r="V33" i="4" s="1"/>
  <c r="O34" i="4"/>
  <c r="R34" i="4"/>
  <c r="V34" i="4" s="1"/>
  <c r="W34" i="4" s="1"/>
  <c r="O35" i="4"/>
  <c r="R35" i="4"/>
  <c r="V35" i="4" s="1"/>
  <c r="W35" i="4" s="1"/>
  <c r="R36" i="4"/>
  <c r="V36" i="4"/>
  <c r="F16" i="4"/>
  <c r="J16" i="4" s="1"/>
  <c r="AR17" i="4"/>
  <c r="AV17" i="4"/>
  <c r="AX17" i="4" s="1"/>
  <c r="F17" i="4"/>
  <c r="J17" i="4"/>
  <c r="K17" i="4" s="1"/>
  <c r="AO18" i="4"/>
  <c r="AR18" i="4" s="1"/>
  <c r="AV18" i="4" s="1"/>
  <c r="F18" i="4"/>
  <c r="AR19" i="4"/>
  <c r="AV19" i="4" s="1"/>
  <c r="F19" i="4"/>
  <c r="J19" i="4" s="1"/>
  <c r="K19" i="4" s="1"/>
  <c r="AO20" i="4"/>
  <c r="AR20" i="4"/>
  <c r="AV20" i="4" s="1"/>
  <c r="F20" i="4"/>
  <c r="J20" i="4" s="1"/>
  <c r="K20" i="4" s="1"/>
  <c r="AV21" i="4"/>
  <c r="C21" i="4"/>
  <c r="F21" i="4" s="1"/>
  <c r="J21" i="4" s="1"/>
  <c r="D21" i="4"/>
  <c r="AV22" i="4"/>
  <c r="C22" i="4"/>
  <c r="F22" i="4" s="1"/>
  <c r="J22" i="4" s="1"/>
  <c r="D22" i="4"/>
  <c r="E22" i="4"/>
  <c r="AV23" i="4"/>
  <c r="C23" i="4"/>
  <c r="F23" i="4"/>
  <c r="J23" i="4" s="1"/>
  <c r="AE16" i="4"/>
  <c r="AI16" i="4"/>
  <c r="AE17" i="4"/>
  <c r="AI17" i="4" s="1"/>
  <c r="AJ17" i="4" s="1"/>
  <c r="AE18" i="4"/>
  <c r="AI18" i="4"/>
  <c r="AE19" i="4"/>
  <c r="AI19" i="4"/>
  <c r="AJ19" i="4" s="1"/>
  <c r="AB20" i="4"/>
  <c r="AE20" i="4" s="1"/>
  <c r="AI20" i="4" s="1"/>
  <c r="AE21" i="4"/>
  <c r="AI21" i="4" s="1"/>
  <c r="AJ21" i="4" s="1"/>
  <c r="AE22" i="4"/>
  <c r="AI22" i="4"/>
  <c r="AJ22" i="4" s="1"/>
  <c r="AE23" i="4"/>
  <c r="AI23" i="4" s="1"/>
  <c r="AJ23" i="4" s="1"/>
  <c r="R18" i="4"/>
  <c r="V18" i="4"/>
  <c r="R19" i="4"/>
  <c r="V19" i="4"/>
  <c r="R20" i="4"/>
  <c r="V20" i="4" s="1"/>
  <c r="O21" i="4"/>
  <c r="Q21" i="4"/>
  <c r="R21" i="4" s="1"/>
  <c r="V21" i="4" s="1"/>
  <c r="W21" i="4" s="1"/>
  <c r="O22" i="4"/>
  <c r="P22" i="4"/>
  <c r="R22" i="4"/>
  <c r="V22" i="4" s="1"/>
  <c r="O23" i="4"/>
  <c r="R23" i="4"/>
  <c r="V23" i="4" s="1"/>
  <c r="W23" i="4" s="1"/>
  <c r="R17" i="4"/>
  <c r="V16" i="4"/>
  <c r="AR3" i="4"/>
  <c r="AV3" i="4" s="1"/>
  <c r="AX3" i="4" s="1"/>
  <c r="F3" i="4"/>
  <c r="J3" i="4" s="1"/>
  <c r="K3" i="4" s="1"/>
  <c r="AR4" i="4"/>
  <c r="AV4" i="4" s="1"/>
  <c r="AX4" i="4" s="1"/>
  <c r="F4" i="4"/>
  <c r="J4" i="4"/>
  <c r="K4" i="4" s="1"/>
  <c r="AR5" i="4"/>
  <c r="AV5" i="4" s="1"/>
  <c r="F5" i="4"/>
  <c r="J5" i="4" s="1"/>
  <c r="K5" i="4" s="1"/>
  <c r="AR6" i="4"/>
  <c r="AV6" i="4"/>
  <c r="AX6" i="4" s="1"/>
  <c r="F6" i="4"/>
  <c r="J6" i="4" s="1"/>
  <c r="K6" i="4" s="1"/>
  <c r="AR7" i="4"/>
  <c r="AV7" i="4" s="1"/>
  <c r="F7" i="4"/>
  <c r="J7" i="4" s="1"/>
  <c r="K7" i="4" s="1"/>
  <c r="AR8" i="4"/>
  <c r="AV8" i="4" s="1"/>
  <c r="AX8" i="4" s="1"/>
  <c r="F8" i="4"/>
  <c r="J8" i="4"/>
  <c r="K8" i="4" s="1"/>
  <c r="AR9" i="4"/>
  <c r="AV9" i="4" s="1"/>
  <c r="F9" i="4"/>
  <c r="J9" i="4" s="1"/>
  <c r="AR10" i="4"/>
  <c r="AV10" i="4"/>
  <c r="F10" i="4"/>
  <c r="J10" i="4" s="1"/>
  <c r="K10" i="4" s="1"/>
  <c r="AE4" i="4"/>
  <c r="AI4" i="4" s="1"/>
  <c r="AJ4" i="4"/>
  <c r="AE5" i="4"/>
  <c r="AI5" i="4"/>
  <c r="AJ5" i="4"/>
  <c r="AE6" i="4"/>
  <c r="AI6" i="4" s="1"/>
  <c r="AJ6" i="4" s="1"/>
  <c r="AE7" i="4"/>
  <c r="AI7" i="4"/>
  <c r="AJ7" i="4" s="1"/>
  <c r="AE8" i="4"/>
  <c r="AI8" i="4"/>
  <c r="AJ8" i="4"/>
  <c r="AE9" i="4"/>
  <c r="AI9" i="4"/>
  <c r="AE10" i="4"/>
  <c r="AI10" i="4" s="1"/>
  <c r="AJ10" i="4" s="1"/>
  <c r="AE3" i="4"/>
  <c r="AI3" i="4"/>
  <c r="AJ3" i="4" s="1"/>
  <c r="R24" i="4"/>
  <c r="V24" i="4" s="1"/>
  <c r="N24" i="4"/>
  <c r="R4" i="4"/>
  <c r="V4" i="4"/>
  <c r="W4" i="4"/>
  <c r="R5" i="4"/>
  <c r="V5" i="4" s="1"/>
  <c r="W5" i="4" s="1"/>
  <c r="R6" i="4"/>
  <c r="V6" i="4"/>
  <c r="W6" i="4" s="1"/>
  <c r="R7" i="4"/>
  <c r="V7" i="4"/>
  <c r="W7" i="4"/>
  <c r="R8" i="4"/>
  <c r="V8" i="4"/>
  <c r="W8" i="4"/>
  <c r="R9" i="4"/>
  <c r="V9" i="4" s="1"/>
  <c r="R10" i="4"/>
  <c r="V10" i="4"/>
  <c r="W10" i="4" s="1"/>
  <c r="R3" i="4"/>
  <c r="V3" i="4"/>
  <c r="W3" i="4"/>
  <c r="AR60" i="4"/>
  <c r="AR61" i="4"/>
  <c r="AR62" i="4"/>
  <c r="AR63" i="4"/>
  <c r="AN63" i="4"/>
  <c r="AE63" i="4"/>
  <c r="AA63" i="4"/>
  <c r="AI63" i="4" s="1"/>
  <c r="R63" i="4"/>
  <c r="N63" i="4"/>
  <c r="B63" i="4"/>
  <c r="AR48" i="4"/>
  <c r="AR49" i="4"/>
  <c r="AN50" i="4"/>
  <c r="AE50" i="4"/>
  <c r="AA50" i="4"/>
  <c r="R50" i="4"/>
  <c r="N50" i="4"/>
  <c r="F50" i="4"/>
  <c r="B50" i="4"/>
  <c r="AR34" i="4"/>
  <c r="AR35" i="4"/>
  <c r="AR36" i="4"/>
  <c r="AN37" i="4"/>
  <c r="AE37" i="4"/>
  <c r="AA37" i="4"/>
  <c r="R37" i="4"/>
  <c r="N37" i="4"/>
  <c r="F37" i="4"/>
  <c r="J37" i="4" s="1"/>
  <c r="B37" i="4"/>
  <c r="AN24" i="4"/>
  <c r="AA24" i="4"/>
  <c r="B24" i="4"/>
  <c r="F24" i="4"/>
  <c r="J24" i="4" s="1"/>
  <c r="AR21" i="4"/>
  <c r="AR24" i="4" s="1"/>
  <c r="AV24" i="4" s="1"/>
  <c r="AR22" i="4"/>
  <c r="AR23" i="4"/>
  <c r="AE24" i="4"/>
  <c r="AS62" i="4"/>
  <c r="AT62" i="4" s="1"/>
  <c r="AH62" i="4"/>
  <c r="AF62" i="4"/>
  <c r="AG62" i="4"/>
  <c r="U62" i="4"/>
  <c r="S62" i="4"/>
  <c r="T62" i="4"/>
  <c r="I62" i="4"/>
  <c r="AZ62" i="4" s="1"/>
  <c r="G62" i="4"/>
  <c r="H62" i="4"/>
  <c r="AS61" i="4"/>
  <c r="AT61" i="4"/>
  <c r="AH61" i="4"/>
  <c r="AF61" i="4"/>
  <c r="AG61" i="4"/>
  <c r="U61" i="4"/>
  <c r="X61" i="4" s="1"/>
  <c r="S61" i="4"/>
  <c r="T61" i="4"/>
  <c r="I61" i="4"/>
  <c r="AZ61" i="4" s="1"/>
  <c r="G61" i="4"/>
  <c r="H61" i="4" s="1"/>
  <c r="AS60" i="4"/>
  <c r="AT60" i="4"/>
  <c r="AH60" i="4"/>
  <c r="AK60" i="4" s="1"/>
  <c r="AF60" i="4"/>
  <c r="AG60" i="4"/>
  <c r="U60" i="4"/>
  <c r="X60" i="4" s="1"/>
  <c r="S60" i="4"/>
  <c r="T60" i="4" s="1"/>
  <c r="I60" i="4"/>
  <c r="AZ60" i="4" s="1"/>
  <c r="G60" i="4"/>
  <c r="H60" i="4"/>
  <c r="AS49" i="4"/>
  <c r="AT49" i="4"/>
  <c r="AH49" i="4"/>
  <c r="AK49" i="4" s="1"/>
  <c r="AF49" i="4"/>
  <c r="AG49" i="4" s="1"/>
  <c r="U49" i="4"/>
  <c r="X49" i="4" s="1"/>
  <c r="S49" i="4"/>
  <c r="T49" i="4"/>
  <c r="I49" i="4"/>
  <c r="AZ49" i="4" s="1"/>
  <c r="G49" i="4"/>
  <c r="H49" i="4"/>
  <c r="AS48" i="4"/>
  <c r="AT48" i="4" s="1"/>
  <c r="AH48" i="4"/>
  <c r="AF48" i="4"/>
  <c r="AG48" i="4"/>
  <c r="U48" i="4"/>
  <c r="S48" i="4"/>
  <c r="T48" i="4"/>
  <c r="I48" i="4"/>
  <c r="AZ48" i="4" s="1"/>
  <c r="G48" i="4"/>
  <c r="H48" i="4"/>
  <c r="AS36" i="4"/>
  <c r="AT36" i="4"/>
  <c r="AH36" i="4"/>
  <c r="AF36" i="4"/>
  <c r="AG36" i="4"/>
  <c r="U36" i="4"/>
  <c r="X36" i="4" s="1"/>
  <c r="S36" i="4"/>
  <c r="T36" i="4"/>
  <c r="I36" i="4"/>
  <c r="AZ36" i="4" s="1"/>
  <c r="G36" i="4"/>
  <c r="H36" i="4" s="1"/>
  <c r="AS35" i="4"/>
  <c r="AT35" i="4"/>
  <c r="AH35" i="4"/>
  <c r="AK35" i="4" s="1"/>
  <c r="AF35" i="4"/>
  <c r="AG35" i="4"/>
  <c r="U35" i="4"/>
  <c r="X35" i="4" s="1"/>
  <c r="S35" i="4"/>
  <c r="T35" i="4" s="1"/>
  <c r="I35" i="4"/>
  <c r="AZ35" i="4" s="1"/>
  <c r="G35" i="4"/>
  <c r="H35" i="4"/>
  <c r="AS34" i="4"/>
  <c r="AT34" i="4"/>
  <c r="AH34" i="4"/>
  <c r="AK34" i="4" s="1"/>
  <c r="AF34" i="4"/>
  <c r="AG34" i="4" s="1"/>
  <c r="U34" i="4"/>
  <c r="X34" i="4" s="1"/>
  <c r="S34" i="4"/>
  <c r="T34" i="4"/>
  <c r="I34" i="4"/>
  <c r="AZ34" i="4" s="1"/>
  <c r="G34" i="4"/>
  <c r="H34" i="4"/>
  <c r="AS23" i="4"/>
  <c r="AT23" i="4" s="1"/>
  <c r="AH23" i="4"/>
  <c r="AF23" i="4"/>
  <c r="AG23" i="4"/>
  <c r="U23" i="4"/>
  <c r="S23" i="4"/>
  <c r="T23" i="4"/>
  <c r="I23" i="4"/>
  <c r="AZ23" i="4" s="1"/>
  <c r="G23" i="4"/>
  <c r="H23" i="4"/>
  <c r="AS22" i="4"/>
  <c r="AT22" i="4"/>
  <c r="AH22" i="4"/>
  <c r="AF22" i="4"/>
  <c r="AG22" i="4"/>
  <c r="U22" i="4"/>
  <c r="X22" i="4" s="1"/>
  <c r="S22" i="4"/>
  <c r="T22" i="4"/>
  <c r="I22" i="4"/>
  <c r="AZ22" i="4" s="1"/>
  <c r="G22" i="4"/>
  <c r="H22" i="4" s="1"/>
  <c r="AS21" i="4"/>
  <c r="AT21" i="4"/>
  <c r="AH21" i="4"/>
  <c r="AK21" i="4" s="1"/>
  <c r="AF21" i="4"/>
  <c r="AG21" i="4"/>
  <c r="U21" i="4"/>
  <c r="X21" i="4" s="1"/>
  <c r="S21" i="4"/>
  <c r="T21" i="4" s="1"/>
  <c r="I21" i="4"/>
  <c r="AZ21" i="4" s="1"/>
  <c r="G21" i="4"/>
  <c r="H21" i="4"/>
  <c r="J50" i="4"/>
  <c r="AI50" i="4"/>
  <c r="AS57" i="4"/>
  <c r="AT57" i="4"/>
  <c r="AS58" i="4"/>
  <c r="AT58" i="4"/>
  <c r="AS59" i="4"/>
  <c r="AT59" i="4"/>
  <c r="AS56" i="4"/>
  <c r="AT56" i="4"/>
  <c r="V63" i="4"/>
  <c r="V50" i="4"/>
  <c r="AI37" i="4"/>
  <c r="V37" i="4"/>
  <c r="AI24" i="4"/>
  <c r="AR11" i="4"/>
  <c r="AV11" i="4" s="1"/>
  <c r="AN11" i="4"/>
  <c r="AA11" i="4"/>
  <c r="R11" i="4"/>
  <c r="V11" i="4" s="1"/>
  <c r="N11" i="4"/>
  <c r="F11" i="4"/>
  <c r="J11" i="4" s="1"/>
  <c r="B11" i="4"/>
  <c r="AU10" i="4"/>
  <c r="AU9" i="4"/>
  <c r="AU8" i="4"/>
  <c r="AZ8" i="4" s="1"/>
  <c r="AU7" i="4"/>
  <c r="AU6" i="4"/>
  <c r="AU5" i="4"/>
  <c r="AU4" i="4"/>
  <c r="AZ4" i="4" s="1"/>
  <c r="AU3" i="4"/>
  <c r="AH10" i="4"/>
  <c r="AH9" i="4"/>
  <c r="AH8" i="4"/>
  <c r="AK8" i="4" s="1"/>
  <c r="AH7" i="4"/>
  <c r="AH6" i="4"/>
  <c r="AH5" i="4"/>
  <c r="AH4" i="4"/>
  <c r="AK4" i="4" s="1"/>
  <c r="AH3" i="4"/>
  <c r="U10" i="4"/>
  <c r="U9" i="4"/>
  <c r="U8" i="4"/>
  <c r="X8" i="4" s="1"/>
  <c r="U7" i="4"/>
  <c r="U6" i="4"/>
  <c r="U5" i="4"/>
  <c r="U4" i="4"/>
  <c r="X4" i="4" s="1"/>
  <c r="U3" i="4"/>
  <c r="I4" i="4"/>
  <c r="I5" i="4"/>
  <c r="I6" i="4"/>
  <c r="I7" i="4"/>
  <c r="I8" i="4"/>
  <c r="I9" i="4"/>
  <c r="I10" i="4"/>
  <c r="I3" i="4"/>
  <c r="AU19" i="4"/>
  <c r="AU17" i="4"/>
  <c r="AZ17" i="4" s="1"/>
  <c r="AU16" i="4"/>
  <c r="AH19" i="4"/>
  <c r="AH18" i="4"/>
  <c r="AH17" i="4"/>
  <c r="AK17" i="4" s="1"/>
  <c r="AH16" i="4"/>
  <c r="AK16" i="4" s="1"/>
  <c r="U20" i="4"/>
  <c r="U19" i="4"/>
  <c r="U18" i="4"/>
  <c r="U16" i="4"/>
  <c r="X16" i="4" s="1"/>
  <c r="I17" i="4"/>
  <c r="I19" i="4"/>
  <c r="I20" i="4"/>
  <c r="I16" i="4"/>
  <c r="AU30" i="4"/>
  <c r="U33" i="4"/>
  <c r="U32" i="4"/>
  <c r="X32" i="4" s="1"/>
  <c r="U31" i="4"/>
  <c r="X31" i="4" s="1"/>
  <c r="U30" i="4"/>
  <c r="U29" i="4"/>
  <c r="I30" i="4"/>
  <c r="I31" i="4"/>
  <c r="I32" i="4"/>
  <c r="I33" i="4"/>
  <c r="I29" i="4"/>
  <c r="AU47" i="4"/>
  <c r="AZ47" i="4" s="1"/>
  <c r="AU43" i="4"/>
  <c r="AH47" i="4"/>
  <c r="AK47" i="4" s="1"/>
  <c r="AH45" i="4"/>
  <c r="AH44" i="4"/>
  <c r="AK44" i="4" s="1"/>
  <c r="AH43" i="4"/>
  <c r="AH42" i="4"/>
  <c r="U47" i="4"/>
  <c r="X47" i="4" s="1"/>
  <c r="U46" i="4"/>
  <c r="U45" i="4"/>
  <c r="U44" i="4"/>
  <c r="U43" i="4"/>
  <c r="X43" i="4" s="1"/>
  <c r="U42" i="4"/>
  <c r="X42" i="4" s="1"/>
  <c r="I43" i="4"/>
  <c r="I44" i="4"/>
  <c r="I45" i="4"/>
  <c r="I46" i="4"/>
  <c r="I47" i="4"/>
  <c r="I42" i="4"/>
  <c r="AU58" i="4"/>
  <c r="AU57" i="4"/>
  <c r="AZ57" i="4" s="1"/>
  <c r="AH58" i="4"/>
  <c r="AH57" i="4"/>
  <c r="AH56" i="4"/>
  <c r="AK56" i="4" s="1"/>
  <c r="U59" i="4"/>
  <c r="U58" i="4"/>
  <c r="U57" i="4"/>
  <c r="U56" i="4"/>
  <c r="X56" i="4" s="1"/>
  <c r="U55" i="4"/>
  <c r="I56" i="4"/>
  <c r="I57" i="4"/>
  <c r="I58" i="4"/>
  <c r="I59" i="4"/>
  <c r="I55" i="4"/>
  <c r="AF58" i="4"/>
  <c r="AG58" i="4"/>
  <c r="AF57" i="4"/>
  <c r="AG57" i="4" s="1"/>
  <c r="AF56" i="4"/>
  <c r="AG56" i="4"/>
  <c r="S59" i="4"/>
  <c r="T59" i="4" s="1"/>
  <c r="S58" i="4"/>
  <c r="T58" i="4"/>
  <c r="S57" i="4"/>
  <c r="T57" i="4" s="1"/>
  <c r="S56" i="4"/>
  <c r="T56" i="4"/>
  <c r="S55" i="4"/>
  <c r="T55" i="4" s="1"/>
  <c r="G56" i="4"/>
  <c r="H56" i="4"/>
  <c r="G57" i="4"/>
  <c r="H57" i="4" s="1"/>
  <c r="G58" i="4"/>
  <c r="H58" i="4"/>
  <c r="G59" i="4"/>
  <c r="H59" i="4" s="1"/>
  <c r="G55" i="4"/>
  <c r="H55" i="4"/>
  <c r="AS47" i="4"/>
  <c r="AT47" i="4" s="1"/>
  <c r="AS43" i="4"/>
  <c r="AT43" i="4"/>
  <c r="AF47" i="4"/>
  <c r="AG47" i="4" s="1"/>
  <c r="AF45" i="4"/>
  <c r="AG45" i="4"/>
  <c r="AF44" i="4"/>
  <c r="AG44" i="4" s="1"/>
  <c r="AF43" i="4"/>
  <c r="AG43" i="4"/>
  <c r="AF42" i="4"/>
  <c r="AG42" i="4" s="1"/>
  <c r="S47" i="4"/>
  <c r="T47" i="4"/>
  <c r="S46" i="4"/>
  <c r="T46" i="4" s="1"/>
  <c r="S45" i="4"/>
  <c r="T45" i="4"/>
  <c r="S44" i="4"/>
  <c r="T44" i="4" s="1"/>
  <c r="S43" i="4"/>
  <c r="T43" i="4"/>
  <c r="S42" i="4"/>
  <c r="T42" i="4" s="1"/>
  <c r="G43" i="4"/>
  <c r="H43" i="4"/>
  <c r="G44" i="4"/>
  <c r="H44" i="4" s="1"/>
  <c r="G45" i="4"/>
  <c r="H45" i="4"/>
  <c r="G46" i="4"/>
  <c r="H46" i="4" s="1"/>
  <c r="G47" i="4"/>
  <c r="H47" i="4"/>
  <c r="G42" i="4"/>
  <c r="H42" i="4" s="1"/>
  <c r="AS30" i="4"/>
  <c r="AT30" i="4"/>
  <c r="S33" i="4"/>
  <c r="T33" i="4" s="1"/>
  <c r="S32" i="4"/>
  <c r="T32" i="4"/>
  <c r="S31" i="4"/>
  <c r="T31" i="4" s="1"/>
  <c r="S30" i="4"/>
  <c r="T30" i="4"/>
  <c r="S29" i="4"/>
  <c r="T29" i="4" s="1"/>
  <c r="G30" i="4"/>
  <c r="H30" i="4"/>
  <c r="G31" i="4"/>
  <c r="H31" i="4" s="1"/>
  <c r="G32" i="4"/>
  <c r="H32" i="4"/>
  <c r="G33" i="4"/>
  <c r="H33" i="4" s="1"/>
  <c r="G29" i="4"/>
  <c r="H29" i="4"/>
  <c r="AS19" i="4"/>
  <c r="AT19" i="4" s="1"/>
  <c r="AS17" i="4"/>
  <c r="AT17" i="4"/>
  <c r="AS16" i="4"/>
  <c r="AT16" i="4" s="1"/>
  <c r="AF19" i="4"/>
  <c r="AG19" i="4"/>
  <c r="AF18" i="4"/>
  <c r="AG18" i="4" s="1"/>
  <c r="AF17" i="4"/>
  <c r="AG17" i="4"/>
  <c r="AF16" i="4"/>
  <c r="AG16" i="4" s="1"/>
  <c r="S20" i="4"/>
  <c r="T20" i="4"/>
  <c r="S19" i="4"/>
  <c r="T19" i="4" s="1"/>
  <c r="S18" i="4"/>
  <c r="T18" i="4"/>
  <c r="S17" i="4"/>
  <c r="T17" i="4" s="1"/>
  <c r="S16" i="4"/>
  <c r="T16" i="4"/>
  <c r="G17" i="4"/>
  <c r="H17" i="4" s="1"/>
  <c r="G18" i="4"/>
  <c r="H18" i="4"/>
  <c r="G19" i="4"/>
  <c r="H19" i="4" s="1"/>
  <c r="G20" i="4"/>
  <c r="H20" i="4"/>
  <c r="G16" i="4"/>
  <c r="H16" i="4" s="1"/>
  <c r="AS10" i="4"/>
  <c r="AT10" i="4"/>
  <c r="AS9" i="4"/>
  <c r="AT9" i="4" s="1"/>
  <c r="AS8" i="4"/>
  <c r="AT8" i="4"/>
  <c r="AS7" i="4"/>
  <c r="AT7" i="4" s="1"/>
  <c r="AS6" i="4"/>
  <c r="AT6" i="4"/>
  <c r="AS5" i="4"/>
  <c r="AT5" i="4" s="1"/>
  <c r="AS4" i="4"/>
  <c r="AT4" i="4"/>
  <c r="AS3" i="4"/>
  <c r="AF10" i="4"/>
  <c r="AG10" i="4"/>
  <c r="AF9" i="4"/>
  <c r="AG9" i="4"/>
  <c r="AF8" i="4"/>
  <c r="AG8" i="4"/>
  <c r="AF7" i="4"/>
  <c r="AG7" i="4"/>
  <c r="AF6" i="4"/>
  <c r="AG6" i="4"/>
  <c r="AF5" i="4"/>
  <c r="AG5" i="4"/>
  <c r="AF4" i="4"/>
  <c r="AG4" i="4"/>
  <c r="AF3" i="4"/>
  <c r="AG3" i="4"/>
  <c r="S10" i="4"/>
  <c r="T10" i="4"/>
  <c r="S9" i="4"/>
  <c r="T9" i="4"/>
  <c r="S8" i="4"/>
  <c r="T8" i="4"/>
  <c r="S7" i="4"/>
  <c r="T7" i="4"/>
  <c r="S6" i="4"/>
  <c r="T6" i="4"/>
  <c r="S5" i="4"/>
  <c r="T5" i="4"/>
  <c r="S4" i="4"/>
  <c r="T4" i="4"/>
  <c r="S3" i="4"/>
  <c r="T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3" i="4"/>
  <c r="H3" i="4"/>
  <c r="AU59" i="4"/>
  <c r="AH59" i="4"/>
  <c r="AU56" i="4"/>
  <c r="AZ56" i="4" s="1"/>
  <c r="AU46" i="4"/>
  <c r="AZ46" i="4" s="1"/>
  <c r="AH46" i="4"/>
  <c r="AS45" i="4"/>
  <c r="AT45" i="4"/>
  <c r="AU44" i="4"/>
  <c r="AZ44" i="4" s="1"/>
  <c r="AU42" i="4"/>
  <c r="AU33" i="4"/>
  <c r="AZ33" i="4" s="1"/>
  <c r="AH33" i="4"/>
  <c r="AK33" i="4" s="1"/>
  <c r="AF32" i="4"/>
  <c r="AG32" i="4" s="1"/>
  <c r="AS31" i="4"/>
  <c r="AT31" i="4"/>
  <c r="AH31" i="4"/>
  <c r="AK31" i="4" s="1"/>
  <c r="AH30" i="4"/>
  <c r="AU29" i="4"/>
  <c r="AZ29" i="4" s="1"/>
  <c r="AH29" i="4"/>
  <c r="AK29" i="4" s="1"/>
  <c r="AU20" i="4"/>
  <c r="AZ20" i="4" s="1"/>
  <c r="AH20" i="4"/>
  <c r="AU18" i="4"/>
  <c r="O66" i="2"/>
  <c r="I66" i="2"/>
  <c r="E66" i="2"/>
  <c r="D66" i="2"/>
  <c r="C66" i="2"/>
  <c r="C64" i="2"/>
  <c r="O59" i="2"/>
  <c r="I60" i="2"/>
  <c r="K59" i="2"/>
  <c r="I59" i="2"/>
  <c r="E60" i="2"/>
  <c r="C60" i="2"/>
  <c r="C59" i="2"/>
  <c r="I49" i="2"/>
  <c r="J48" i="2"/>
  <c r="I48" i="2"/>
  <c r="K47" i="2"/>
  <c r="I47" i="2"/>
  <c r="C49" i="2"/>
  <c r="E48" i="2"/>
  <c r="D48" i="2"/>
  <c r="C48" i="2"/>
  <c r="D47" i="2"/>
  <c r="C47" i="2"/>
  <c r="I54" i="2"/>
  <c r="I53" i="2"/>
  <c r="C55" i="2"/>
  <c r="C54" i="2"/>
  <c r="E53" i="2"/>
  <c r="C53" i="2"/>
  <c r="U43" i="2"/>
  <c r="U40" i="2"/>
  <c r="O43" i="2"/>
  <c r="U34" i="2"/>
  <c r="U33" i="2"/>
  <c r="U32" i="2"/>
  <c r="U30" i="2"/>
  <c r="O34" i="2"/>
  <c r="U26" i="2"/>
  <c r="W25" i="2"/>
  <c r="V25" i="2"/>
  <c r="U25" i="2"/>
  <c r="U24" i="2"/>
  <c r="U22" i="2"/>
  <c r="O26" i="2"/>
  <c r="O25" i="2"/>
  <c r="O24" i="2"/>
  <c r="O23" i="2"/>
  <c r="O22" i="2"/>
  <c r="U18" i="2"/>
  <c r="U16" i="2"/>
  <c r="O18" i="2"/>
  <c r="AS46" i="4"/>
  <c r="AT46" i="4"/>
  <c r="AU45" i="4"/>
  <c r="AH32" i="4"/>
  <c r="AK32" i="4" s="1"/>
  <c r="AU32" i="4"/>
  <c r="AZ32" i="4" s="1"/>
  <c r="AF29" i="4"/>
  <c r="AG29" i="4" s="1"/>
  <c r="AS42" i="4"/>
  <c r="AT42" i="4"/>
  <c r="AF33" i="4"/>
  <c r="AG33" i="4" s="1"/>
  <c r="AS20" i="4"/>
  <c r="AT20" i="4"/>
  <c r="AF30" i="4"/>
  <c r="AG30" i="4" s="1"/>
  <c r="AS29" i="4"/>
  <c r="AT29" i="4"/>
  <c r="AS33" i="4"/>
  <c r="AT33" i="4" s="1"/>
  <c r="AS32" i="4"/>
  <c r="AT32" i="4"/>
  <c r="AT3" i="4"/>
  <c r="AF31" i="4"/>
  <c r="AG31" i="4"/>
  <c r="AF46" i="4"/>
  <c r="AG46" i="4"/>
  <c r="AS44" i="4"/>
  <c r="AT44" i="4"/>
  <c r="AU31" i="4"/>
  <c r="AF20" i="4"/>
  <c r="AG20" i="4" s="1"/>
  <c r="AS18" i="4"/>
  <c r="AT18" i="4"/>
  <c r="AF59" i="4"/>
  <c r="AG59" i="4" s="1"/>
  <c r="W9" i="4" l="1"/>
  <c r="W12" i="4" s="1"/>
  <c r="W13" i="4" s="1"/>
  <c r="K9" i="4"/>
  <c r="AJ9" i="4"/>
  <c r="AJ12" i="4" s="1"/>
  <c r="AJ13" i="4" s="1"/>
  <c r="J12" i="4"/>
  <c r="J13" i="4" s="1"/>
  <c r="W11" i="4"/>
  <c r="X59" i="4"/>
  <c r="X46" i="4"/>
  <c r="K22" i="4"/>
  <c r="AX22" i="4"/>
  <c r="K16" i="4"/>
  <c r="AX16" i="4"/>
  <c r="AX25" i="4" s="1"/>
  <c r="AX26" i="4" s="1"/>
  <c r="K36" i="4"/>
  <c r="AX36" i="4"/>
  <c r="AZ16" i="4"/>
  <c r="AZ31" i="4"/>
  <c r="AZ38" i="4" s="1"/>
  <c r="AZ39" i="4" s="1"/>
  <c r="AK38" i="4"/>
  <c r="AK39" i="4" s="1"/>
  <c r="AZ58" i="4"/>
  <c r="AZ63" i="4" s="1"/>
  <c r="AK45" i="4"/>
  <c r="X5" i="4"/>
  <c r="X9" i="4"/>
  <c r="AK5" i="4"/>
  <c r="AK9" i="4"/>
  <c r="AZ5" i="4"/>
  <c r="AZ9" i="4"/>
  <c r="AE11" i="4"/>
  <c r="AI11" i="4" s="1"/>
  <c r="AX10" i="4"/>
  <c r="AX9" i="4"/>
  <c r="W16" i="4"/>
  <c r="W22" i="4"/>
  <c r="AJ16" i="4"/>
  <c r="AX19" i="4"/>
  <c r="W36" i="4"/>
  <c r="W38" i="4"/>
  <c r="W39" i="4" s="1"/>
  <c r="K49" i="4"/>
  <c r="AX49" i="4"/>
  <c r="AJ49" i="4"/>
  <c r="AX45" i="4"/>
  <c r="AK57" i="4"/>
  <c r="X44" i="4"/>
  <c r="X51" i="4" s="1"/>
  <c r="X52" i="4" s="1"/>
  <c r="AK42" i="4"/>
  <c r="X29" i="4"/>
  <c r="AZ19" i="4"/>
  <c r="X10" i="4"/>
  <c r="AK6" i="4"/>
  <c r="AZ6" i="4"/>
  <c r="AK48" i="4"/>
  <c r="AK62" i="4"/>
  <c r="AR50" i="4"/>
  <c r="AV50" i="4" s="1"/>
  <c r="W37" i="4"/>
  <c r="AX24" i="4" s="1"/>
  <c r="AX7" i="4"/>
  <c r="W20" i="4"/>
  <c r="AX20" i="4"/>
  <c r="AJ36" i="4"/>
  <c r="AX33" i="4"/>
  <c r="AX37" i="4" s="1"/>
  <c r="W43" i="4"/>
  <c r="W50" i="4" s="1"/>
  <c r="AX43" i="4"/>
  <c r="AK59" i="4"/>
  <c r="X57" i="4"/>
  <c r="X63" i="4" s="1"/>
  <c r="X33" i="4"/>
  <c r="X19" i="4"/>
  <c r="X6" i="4"/>
  <c r="AK10" i="4"/>
  <c r="AZ10" i="4"/>
  <c r="AK23" i="4"/>
  <c r="AK24" i="4" s="1"/>
  <c r="AZ45" i="4"/>
  <c r="AK20" i="4"/>
  <c r="AK30" i="4"/>
  <c r="AK37" i="4" s="1"/>
  <c r="AZ42" i="4"/>
  <c r="AK46" i="4"/>
  <c r="AZ59" i="4"/>
  <c r="X58" i="4"/>
  <c r="AK58" i="4"/>
  <c r="X45" i="4"/>
  <c r="AK43" i="4"/>
  <c r="AZ43" i="4"/>
  <c r="X30" i="4"/>
  <c r="AZ30" i="4"/>
  <c r="AZ37" i="4" s="1"/>
  <c r="X20" i="4"/>
  <c r="AK19" i="4"/>
  <c r="AK25" i="4" s="1"/>
  <c r="AK26" i="4" s="1"/>
  <c r="X3" i="4"/>
  <c r="X7" i="4"/>
  <c r="AK3" i="4"/>
  <c r="AK7" i="4"/>
  <c r="AZ3" i="4"/>
  <c r="AZ7" i="4"/>
  <c r="AV63" i="4"/>
  <c r="AK22" i="4"/>
  <c r="X23" i="4"/>
  <c r="AK36" i="4"/>
  <c r="X48" i="4"/>
  <c r="AK61" i="4"/>
  <c r="X62" i="4"/>
  <c r="X64" i="4" s="1"/>
  <c r="X65" i="4" s="1"/>
  <c r="AR37" i="4"/>
  <c r="AV37" i="4" s="1"/>
  <c r="AX5" i="4"/>
  <c r="AX12" i="4" s="1"/>
  <c r="AX13" i="4" s="1"/>
  <c r="W19" i="4"/>
  <c r="AJ20" i="4"/>
  <c r="K23" i="4"/>
  <c r="AX23" i="4"/>
  <c r="K21" i="4"/>
  <c r="AX21" i="4"/>
  <c r="W33" i="4"/>
  <c r="AJ33" i="4"/>
  <c r="AJ37" i="4" s="1"/>
  <c r="AJ38" i="4"/>
  <c r="AJ39" i="4" s="1"/>
  <c r="K34" i="4"/>
  <c r="AX34" i="4"/>
  <c r="W51" i="4"/>
  <c r="W52" i="4" s="1"/>
  <c r="AJ45" i="4"/>
  <c r="AJ51" i="4" s="1"/>
  <c r="AJ52" i="4" s="1"/>
  <c r="K48" i="4"/>
  <c r="AX48" i="4"/>
  <c r="AX61" i="4"/>
  <c r="AX60" i="4"/>
  <c r="AX58" i="4"/>
  <c r="F62" i="4"/>
  <c r="X24" i="4" l="1"/>
  <c r="X25" i="4"/>
  <c r="X26" i="4" s="1"/>
  <c r="AJ11" i="4"/>
  <c r="X12" i="4"/>
  <c r="X13" i="4" s="1"/>
  <c r="X11" i="4"/>
  <c r="AZ51" i="4"/>
  <c r="AZ52" i="4" s="1"/>
  <c r="AZ50" i="4"/>
  <c r="AZ11" i="4"/>
  <c r="AZ12" i="4"/>
  <c r="AZ13" i="4" s="1"/>
  <c r="W25" i="4"/>
  <c r="W26" i="4" s="1"/>
  <c r="W24" i="4"/>
  <c r="AZ64" i="4"/>
  <c r="AZ65" i="4" s="1"/>
  <c r="AJ50" i="4"/>
  <c r="AK12" i="4"/>
  <c r="AK13" i="4" s="1"/>
  <c r="AK11" i="4"/>
  <c r="AX11" i="4"/>
  <c r="X37" i="4"/>
  <c r="X38" i="4"/>
  <c r="X39" i="4" s="1"/>
  <c r="AK63" i="4"/>
  <c r="AK64" i="4" s="1"/>
  <c r="AK65" i="4" s="1"/>
  <c r="AZ24" i="4"/>
  <c r="AZ25" i="4"/>
  <c r="AZ26" i="4" s="1"/>
  <c r="X50" i="4"/>
  <c r="AX50" i="4"/>
  <c r="AX38" i="4"/>
  <c r="AX39" i="4" s="1"/>
  <c r="J62" i="4"/>
  <c r="F63" i="4"/>
  <c r="J63" i="4" s="1"/>
  <c r="K63" i="4" s="1"/>
  <c r="AK51" i="4"/>
  <c r="AK52" i="4" s="1"/>
  <c r="AK50" i="4"/>
  <c r="AX51" i="4"/>
  <c r="AX52" i="4" s="1"/>
  <c r="AJ25" i="4"/>
  <c r="AJ26" i="4" s="1"/>
  <c r="AJ24" i="4"/>
  <c r="K62" i="4" l="1"/>
  <c r="AX62" i="4"/>
  <c r="W62" i="4"/>
  <c r="AJ62" i="4"/>
  <c r="AJ63" i="4" s="1"/>
  <c r="AJ64" i="4" s="1"/>
  <c r="AJ65" i="4" s="1"/>
  <c r="W63" i="4" l="1"/>
  <c r="W64" i="4"/>
  <c r="W65" i="4" s="1"/>
  <c r="AX63" i="4"/>
  <c r="AX64" i="4"/>
  <c r="AX65" i="4" s="1"/>
</calcChain>
</file>

<file path=xl/sharedStrings.xml><?xml version="1.0" encoding="utf-8"?>
<sst xmlns="http://schemas.openxmlformats.org/spreadsheetml/2006/main" count="307" uniqueCount="38">
  <si>
    <t>Control</t>
  </si>
  <si>
    <t>Baseline</t>
  </si>
  <si>
    <t>Timepoint1</t>
  </si>
  <si>
    <t>Timepoint2</t>
  </si>
  <si>
    <t>Timepoint3</t>
  </si>
  <si>
    <t>Diet A-1</t>
  </si>
  <si>
    <t>Diet B-1</t>
  </si>
  <si>
    <t>Diet C-1</t>
  </si>
  <si>
    <t>Diet D-1</t>
  </si>
  <si>
    <t>Diet A-2</t>
  </si>
  <si>
    <t>weight</t>
  </si>
  <si>
    <t>Diet B-2</t>
  </si>
  <si>
    <t>Diet C-2</t>
  </si>
  <si>
    <t>Diet D-2</t>
  </si>
  <si>
    <t>Mean</t>
  </si>
  <si>
    <t>SD</t>
  </si>
  <si>
    <t>SEM</t>
  </si>
  <si>
    <t>Max</t>
  </si>
  <si>
    <t>Index</t>
  </si>
  <si>
    <t>%change</t>
  </si>
  <si>
    <t xml:space="preserve">Change mean HI </t>
  </si>
  <si>
    <t>Change max HI</t>
  </si>
  <si>
    <t>%change HI</t>
  </si>
  <si>
    <t>%change max</t>
  </si>
  <si>
    <t>% change HI</t>
  </si>
  <si>
    <t>5 change max</t>
  </si>
  <si>
    <t>Control = control chow</t>
  </si>
  <si>
    <t>Animal ID</t>
  </si>
  <si>
    <t>Diet A1 and A2 = Haelan</t>
  </si>
  <si>
    <t>Diet B1 and B2 = BBI</t>
  </si>
  <si>
    <t>Diet C1 and C2 = Isoflavones</t>
  </si>
  <si>
    <t>Diet D1 and D2 = BBI + Isoflavones</t>
  </si>
  <si>
    <t>Weight in grammes</t>
  </si>
  <si>
    <t>times in seconds</t>
  </si>
  <si>
    <t>A1 + A2, B1 + B2 etc are different cohorts tested at different times</t>
  </si>
  <si>
    <t>Baseline = 12 weeks from weaning; timepoint 1, 4 weeks later; timepoint 2, 8 weeks later; timepoint 3, 12 weeks later.</t>
  </si>
  <si>
    <t>6 figure numbere e.g. 175158 or 185767 are unique  animal IDs</t>
  </si>
  <si>
    <t>Maximum Holding index = longest hang time (s) /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</si>
</sst>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7"/>
  <sheetViews>
    <sheetView topLeftCell="A34" workbookViewId="0">
      <selection activeCell="A74" sqref="A74"/>
    </sheetView>
  </sheetViews>
  <sheetFormatPr baseColWidth="10" defaultColWidth="8.83203125" defaultRowHeight="15"/>
  <cols>
    <col min="1" max="6" width="8.83203125" style="8"/>
    <col min="7" max="7" width="11.1640625" style="8" bestFit="1" customWidth="1"/>
    <col min="8" max="8" width="11.1640625" style="8" customWidth="1"/>
    <col min="9" max="16384" width="8.83203125" style="8"/>
  </cols>
  <sheetData>
    <row r="1" spans="1:23">
      <c r="A1" s="8" t="s">
        <v>27</v>
      </c>
      <c r="B1" s="15" t="s">
        <v>1</v>
      </c>
      <c r="C1" s="15"/>
      <c r="D1" s="15"/>
      <c r="E1" s="15"/>
      <c r="H1" s="15" t="s">
        <v>2</v>
      </c>
      <c r="I1" s="15"/>
      <c r="J1" s="15"/>
      <c r="K1" s="15"/>
      <c r="N1" s="15" t="s">
        <v>3</v>
      </c>
      <c r="O1" s="15"/>
      <c r="P1" s="15"/>
      <c r="Q1" s="15"/>
      <c r="T1" s="15" t="s">
        <v>4</v>
      </c>
      <c r="U1" s="15"/>
      <c r="V1" s="15"/>
      <c r="W1" s="15"/>
    </row>
    <row r="2" spans="1:23">
      <c r="A2" s="1" t="s">
        <v>0</v>
      </c>
      <c r="B2" s="8" t="s">
        <v>10</v>
      </c>
      <c r="C2" s="8">
        <v>1</v>
      </c>
      <c r="D2" s="8">
        <v>2</v>
      </c>
      <c r="E2" s="8">
        <v>3</v>
      </c>
      <c r="G2" s="1" t="s">
        <v>0</v>
      </c>
      <c r="H2" s="8" t="s">
        <v>10</v>
      </c>
      <c r="I2" s="8">
        <v>1</v>
      </c>
      <c r="J2" s="8">
        <v>2</v>
      </c>
      <c r="K2" s="8">
        <v>3</v>
      </c>
      <c r="M2" s="1" t="s">
        <v>0</v>
      </c>
      <c r="N2" s="8" t="s">
        <v>10</v>
      </c>
      <c r="O2" s="8">
        <v>1</v>
      </c>
      <c r="P2" s="8">
        <v>2</v>
      </c>
      <c r="Q2" s="8">
        <v>3</v>
      </c>
      <c r="S2" s="1" t="s">
        <v>0</v>
      </c>
      <c r="T2" s="8" t="s">
        <v>10</v>
      </c>
      <c r="U2" s="8">
        <v>1</v>
      </c>
      <c r="V2" s="8">
        <v>2</v>
      </c>
      <c r="W2" s="8">
        <v>3</v>
      </c>
    </row>
    <row r="3" spans="1:23">
      <c r="A3" s="2">
        <v>176935</v>
      </c>
      <c r="B3" s="8">
        <v>32</v>
      </c>
      <c r="C3" s="3">
        <v>70</v>
      </c>
      <c r="D3" s="3">
        <v>55</v>
      </c>
      <c r="E3" s="3">
        <v>40</v>
      </c>
      <c r="G3" s="2">
        <v>176935</v>
      </c>
      <c r="H3" s="8">
        <v>34</v>
      </c>
      <c r="I3" s="3">
        <v>32</v>
      </c>
      <c r="J3" s="3">
        <v>0</v>
      </c>
      <c r="K3" s="3">
        <v>0</v>
      </c>
      <c r="M3" s="2">
        <v>176935</v>
      </c>
      <c r="N3" s="8">
        <v>34</v>
      </c>
      <c r="O3" s="3">
        <v>5</v>
      </c>
      <c r="P3" s="3">
        <v>2</v>
      </c>
      <c r="Q3" s="3">
        <v>1</v>
      </c>
      <c r="S3" s="2">
        <v>176935</v>
      </c>
      <c r="T3" s="8">
        <v>35</v>
      </c>
      <c r="U3" s="2">
        <v>55</v>
      </c>
      <c r="V3" s="2">
        <v>41</v>
      </c>
      <c r="W3" s="2">
        <v>25</v>
      </c>
    </row>
    <row r="4" spans="1:23">
      <c r="A4" s="2">
        <v>176936</v>
      </c>
      <c r="B4" s="8">
        <v>26</v>
      </c>
      <c r="C4" s="3">
        <v>1723</v>
      </c>
      <c r="D4" s="3">
        <v>366</v>
      </c>
      <c r="E4" s="3">
        <v>305</v>
      </c>
      <c r="G4" s="2">
        <v>176936</v>
      </c>
      <c r="H4" s="8">
        <v>28</v>
      </c>
      <c r="I4" s="3">
        <v>194</v>
      </c>
      <c r="J4" s="3">
        <v>24</v>
      </c>
      <c r="K4" s="3">
        <v>37</v>
      </c>
      <c r="M4" s="2">
        <v>176936</v>
      </c>
      <c r="N4" s="8">
        <v>29</v>
      </c>
      <c r="O4" s="3">
        <v>509</v>
      </c>
      <c r="P4" s="3">
        <v>19</v>
      </c>
      <c r="Q4" s="3">
        <v>18</v>
      </c>
      <c r="S4" s="2">
        <v>176936</v>
      </c>
      <c r="T4" s="8">
        <v>36</v>
      </c>
      <c r="U4" s="2">
        <v>87</v>
      </c>
      <c r="V4" s="2">
        <v>31</v>
      </c>
      <c r="W4" s="2">
        <v>14</v>
      </c>
    </row>
    <row r="5" spans="1:23">
      <c r="A5" s="2">
        <v>176937</v>
      </c>
      <c r="B5" s="8">
        <v>32</v>
      </c>
      <c r="C5" s="3">
        <v>84</v>
      </c>
      <c r="D5" s="3">
        <v>270</v>
      </c>
      <c r="E5" s="3">
        <v>106</v>
      </c>
      <c r="G5" s="2">
        <v>176937</v>
      </c>
      <c r="H5" s="8">
        <v>33</v>
      </c>
      <c r="I5" s="3">
        <v>153</v>
      </c>
      <c r="J5" s="3">
        <v>15</v>
      </c>
      <c r="K5" s="3">
        <v>26</v>
      </c>
      <c r="M5" s="2">
        <v>176937</v>
      </c>
      <c r="N5" s="8">
        <v>35</v>
      </c>
      <c r="O5" s="3">
        <v>57</v>
      </c>
      <c r="P5" s="3">
        <v>32</v>
      </c>
      <c r="Q5" s="3">
        <v>3</v>
      </c>
      <c r="S5" s="2">
        <v>176937</v>
      </c>
      <c r="T5" s="8">
        <v>35</v>
      </c>
      <c r="U5" s="2">
        <v>192</v>
      </c>
      <c r="V5" s="2">
        <v>67</v>
      </c>
      <c r="W5" s="2">
        <v>53</v>
      </c>
    </row>
    <row r="6" spans="1:23">
      <c r="A6" s="2">
        <v>176938</v>
      </c>
      <c r="B6" s="8">
        <v>31</v>
      </c>
      <c r="C6" s="3">
        <v>63</v>
      </c>
      <c r="D6" s="3">
        <v>135</v>
      </c>
      <c r="E6" s="3">
        <v>41</v>
      </c>
      <c r="G6" s="2">
        <v>176938</v>
      </c>
      <c r="H6" s="8">
        <v>34</v>
      </c>
      <c r="I6" s="3">
        <v>44</v>
      </c>
      <c r="J6" s="3">
        <v>19</v>
      </c>
      <c r="K6" s="3">
        <v>7</v>
      </c>
      <c r="M6" s="2">
        <v>176938</v>
      </c>
      <c r="N6" s="8">
        <v>35</v>
      </c>
      <c r="O6" s="3">
        <v>69</v>
      </c>
      <c r="P6" s="3">
        <v>18</v>
      </c>
      <c r="Q6" s="3">
        <v>2</v>
      </c>
      <c r="S6" s="2">
        <v>176938</v>
      </c>
      <c r="T6" s="8">
        <v>37</v>
      </c>
      <c r="U6" s="2">
        <v>288</v>
      </c>
      <c r="V6" s="2">
        <v>88</v>
      </c>
      <c r="W6" s="2">
        <v>34</v>
      </c>
    </row>
    <row r="7" spans="1:23">
      <c r="A7" s="2">
        <v>176951</v>
      </c>
      <c r="B7" s="8">
        <v>33</v>
      </c>
      <c r="C7" s="3">
        <v>290</v>
      </c>
      <c r="D7" s="3">
        <v>58</v>
      </c>
      <c r="E7" s="3">
        <v>71</v>
      </c>
      <c r="G7" s="2">
        <v>176951</v>
      </c>
      <c r="H7" s="8">
        <v>34</v>
      </c>
      <c r="I7" s="3">
        <v>68</v>
      </c>
      <c r="J7" s="3">
        <v>20</v>
      </c>
      <c r="K7" s="3">
        <v>16</v>
      </c>
      <c r="M7" s="2">
        <v>176951</v>
      </c>
      <c r="N7" s="8">
        <v>35</v>
      </c>
      <c r="O7" s="3">
        <v>53</v>
      </c>
      <c r="P7" s="3">
        <v>58</v>
      </c>
      <c r="Q7" s="3">
        <v>13</v>
      </c>
      <c r="S7" s="2">
        <v>176951</v>
      </c>
      <c r="T7" s="8">
        <v>36</v>
      </c>
      <c r="U7" s="2">
        <v>48</v>
      </c>
      <c r="V7" s="2">
        <v>27</v>
      </c>
      <c r="W7" s="2">
        <v>2</v>
      </c>
    </row>
    <row r="8" spans="1:23">
      <c r="A8" s="2">
        <v>176952</v>
      </c>
      <c r="B8" s="8">
        <v>36</v>
      </c>
      <c r="C8" s="3">
        <v>63</v>
      </c>
      <c r="D8" s="3">
        <v>165</v>
      </c>
      <c r="E8" s="3">
        <v>133</v>
      </c>
      <c r="G8" s="2">
        <v>176952</v>
      </c>
      <c r="H8" s="8">
        <v>38</v>
      </c>
      <c r="I8" s="3">
        <v>241</v>
      </c>
      <c r="J8" s="3">
        <v>26</v>
      </c>
      <c r="K8" s="3">
        <v>18</v>
      </c>
      <c r="M8" s="2">
        <v>176952</v>
      </c>
      <c r="N8" s="8">
        <v>40</v>
      </c>
      <c r="O8" s="3">
        <v>309</v>
      </c>
      <c r="P8" s="3">
        <v>15</v>
      </c>
      <c r="Q8" s="3">
        <v>18</v>
      </c>
      <c r="S8" s="2">
        <v>176952</v>
      </c>
      <c r="T8" s="8">
        <v>40</v>
      </c>
      <c r="U8" s="2">
        <v>272</v>
      </c>
      <c r="V8" s="2">
        <v>41</v>
      </c>
      <c r="W8" s="2">
        <v>35</v>
      </c>
    </row>
    <row r="9" spans="1:23">
      <c r="A9" s="2">
        <v>176953</v>
      </c>
      <c r="B9" s="8">
        <v>30</v>
      </c>
      <c r="C9" s="3">
        <v>463</v>
      </c>
      <c r="D9" s="3">
        <v>113</v>
      </c>
      <c r="E9" s="3">
        <v>168</v>
      </c>
      <c r="G9" s="2">
        <v>176953</v>
      </c>
      <c r="H9" s="8">
        <v>32</v>
      </c>
      <c r="I9" s="3">
        <v>778</v>
      </c>
      <c r="J9" s="3">
        <v>181</v>
      </c>
      <c r="K9" s="3">
        <v>48</v>
      </c>
      <c r="M9" s="2">
        <v>176953</v>
      </c>
      <c r="N9" s="8">
        <v>33</v>
      </c>
      <c r="O9" s="3">
        <v>200</v>
      </c>
      <c r="P9" s="3">
        <v>126</v>
      </c>
      <c r="Q9" s="3">
        <v>16</v>
      </c>
      <c r="S9" s="2">
        <v>176953</v>
      </c>
      <c r="T9" s="8">
        <v>35</v>
      </c>
      <c r="U9" s="2">
        <v>50</v>
      </c>
      <c r="V9" s="2">
        <v>10</v>
      </c>
      <c r="W9" s="2">
        <v>3</v>
      </c>
    </row>
    <row r="10" spans="1:23">
      <c r="A10" s="2">
        <v>176954</v>
      </c>
      <c r="B10" s="8">
        <v>29</v>
      </c>
      <c r="C10" s="3">
        <v>534</v>
      </c>
      <c r="D10" s="3">
        <v>38</v>
      </c>
      <c r="E10" s="3">
        <v>40</v>
      </c>
      <c r="G10" s="2">
        <v>176954</v>
      </c>
      <c r="H10" s="8">
        <v>30</v>
      </c>
      <c r="I10" s="3">
        <v>89</v>
      </c>
      <c r="J10" s="3">
        <v>15</v>
      </c>
      <c r="K10" s="3">
        <v>13</v>
      </c>
      <c r="M10" s="2">
        <v>176954</v>
      </c>
      <c r="N10" s="8">
        <v>32</v>
      </c>
      <c r="O10" s="3">
        <v>206</v>
      </c>
      <c r="P10" s="3">
        <v>14</v>
      </c>
      <c r="Q10" s="3">
        <v>19</v>
      </c>
      <c r="S10" s="2">
        <v>176954</v>
      </c>
      <c r="T10" s="8">
        <v>32</v>
      </c>
      <c r="U10" s="2">
        <v>55</v>
      </c>
      <c r="V10" s="2">
        <v>33</v>
      </c>
      <c r="W10" s="2">
        <v>12</v>
      </c>
    </row>
    <row r="12" spans="1:23">
      <c r="B12" s="15" t="s">
        <v>1</v>
      </c>
      <c r="C12" s="15"/>
      <c r="D12" s="15"/>
      <c r="E12" s="15"/>
      <c r="H12" s="15" t="s">
        <v>2</v>
      </c>
      <c r="I12" s="15"/>
      <c r="J12" s="15"/>
      <c r="K12" s="15"/>
      <c r="N12" s="15" t="s">
        <v>3</v>
      </c>
      <c r="O12" s="15"/>
      <c r="P12" s="15"/>
      <c r="Q12" s="15"/>
      <c r="T12" s="15" t="s">
        <v>4</v>
      </c>
      <c r="U12" s="15"/>
      <c r="V12" s="15"/>
      <c r="W12" s="15"/>
    </row>
    <row r="13" spans="1:23">
      <c r="A13" s="8" t="s">
        <v>5</v>
      </c>
      <c r="B13" s="8" t="s">
        <v>10</v>
      </c>
      <c r="C13" s="8">
        <v>1</v>
      </c>
      <c r="D13" s="8">
        <v>2</v>
      </c>
      <c r="E13" s="8">
        <v>3</v>
      </c>
      <c r="G13" s="8" t="s">
        <v>5</v>
      </c>
      <c r="H13" s="8" t="s">
        <v>10</v>
      </c>
      <c r="I13" s="8">
        <v>1</v>
      </c>
      <c r="J13" s="8">
        <v>2</v>
      </c>
      <c r="K13" s="8">
        <v>3</v>
      </c>
      <c r="M13" s="8" t="s">
        <v>5</v>
      </c>
      <c r="N13" s="8" t="s">
        <v>10</v>
      </c>
      <c r="O13" s="8">
        <v>1</v>
      </c>
      <c r="P13" s="8">
        <v>2</v>
      </c>
      <c r="Q13" s="8">
        <v>3</v>
      </c>
      <c r="S13" s="8" t="s">
        <v>5</v>
      </c>
      <c r="T13" s="8" t="s">
        <v>10</v>
      </c>
      <c r="U13" s="8">
        <v>1</v>
      </c>
      <c r="V13" s="8">
        <v>2</v>
      </c>
      <c r="W13" s="8">
        <v>3</v>
      </c>
    </row>
    <row r="14" spans="1:23">
      <c r="A14" s="2">
        <v>175156</v>
      </c>
      <c r="B14" s="8">
        <v>36</v>
      </c>
      <c r="C14" s="3">
        <v>31</v>
      </c>
      <c r="D14" s="3">
        <v>34</v>
      </c>
      <c r="E14" s="3">
        <v>15</v>
      </c>
      <c r="G14" s="2">
        <v>175156</v>
      </c>
      <c r="H14" s="8">
        <v>38</v>
      </c>
      <c r="I14" s="3">
        <v>35</v>
      </c>
      <c r="J14" s="3">
        <v>23</v>
      </c>
      <c r="K14" s="3">
        <v>10</v>
      </c>
      <c r="M14" s="2">
        <v>175156</v>
      </c>
      <c r="N14" s="8">
        <v>39</v>
      </c>
      <c r="O14" s="8">
        <v>145</v>
      </c>
      <c r="P14" s="8">
        <v>117</v>
      </c>
      <c r="Q14" s="8">
        <v>48</v>
      </c>
      <c r="S14" s="2">
        <v>175156</v>
      </c>
      <c r="T14" s="8">
        <v>40</v>
      </c>
      <c r="U14" s="8">
        <v>61</v>
      </c>
      <c r="V14" s="8">
        <v>4</v>
      </c>
      <c r="W14" s="8">
        <v>10</v>
      </c>
    </row>
    <row r="15" spans="1:23">
      <c r="A15" s="2">
        <v>175160</v>
      </c>
      <c r="B15" s="8">
        <v>37</v>
      </c>
      <c r="C15" s="3">
        <v>48</v>
      </c>
      <c r="D15" s="3">
        <v>48</v>
      </c>
      <c r="E15" s="3">
        <v>5</v>
      </c>
      <c r="G15" s="2">
        <v>175160</v>
      </c>
      <c r="H15" s="8">
        <v>38</v>
      </c>
      <c r="I15" s="3">
        <v>2</v>
      </c>
      <c r="J15" s="3">
        <v>0</v>
      </c>
      <c r="K15" s="3">
        <v>0</v>
      </c>
      <c r="M15" s="2">
        <v>175160</v>
      </c>
      <c r="N15" s="8">
        <v>38</v>
      </c>
      <c r="O15" s="8">
        <v>49</v>
      </c>
      <c r="P15" s="8">
        <v>16</v>
      </c>
      <c r="Q15" s="8">
        <v>20</v>
      </c>
      <c r="S15" s="2">
        <v>175160</v>
      </c>
      <c r="T15" s="8">
        <v>39</v>
      </c>
      <c r="U15" s="8">
        <v>28</v>
      </c>
      <c r="V15" s="8">
        <v>12</v>
      </c>
      <c r="W15" s="8">
        <v>7</v>
      </c>
    </row>
    <row r="16" spans="1:23">
      <c r="A16" s="2">
        <v>176961</v>
      </c>
      <c r="B16" s="8">
        <v>33</v>
      </c>
      <c r="C16" s="3">
        <v>3</v>
      </c>
      <c r="D16" s="3">
        <v>14</v>
      </c>
      <c r="E16" s="3">
        <v>7</v>
      </c>
      <c r="G16" s="2">
        <v>176961</v>
      </c>
      <c r="H16" s="8">
        <v>33</v>
      </c>
      <c r="I16" s="3">
        <v>360</v>
      </c>
      <c r="J16" s="3">
        <v>11</v>
      </c>
      <c r="K16" s="3">
        <v>28</v>
      </c>
      <c r="M16" s="2">
        <v>176961</v>
      </c>
      <c r="N16" s="8">
        <v>33</v>
      </c>
      <c r="O16" s="8">
        <v>450</v>
      </c>
      <c r="P16" s="8">
        <v>46</v>
      </c>
      <c r="Q16" s="8">
        <v>21</v>
      </c>
      <c r="S16" s="2">
        <v>176961</v>
      </c>
      <c r="T16" s="8">
        <v>34</v>
      </c>
      <c r="U16" s="8">
        <f>5*60+36</f>
        <v>336</v>
      </c>
      <c r="V16" s="8">
        <v>28</v>
      </c>
      <c r="W16" s="8">
        <v>10</v>
      </c>
    </row>
    <row r="17" spans="1:23">
      <c r="A17" s="2">
        <v>177566</v>
      </c>
      <c r="B17" s="8">
        <v>33</v>
      </c>
      <c r="C17" s="3">
        <v>322</v>
      </c>
      <c r="D17" s="3">
        <v>142</v>
      </c>
      <c r="E17" s="3">
        <v>79</v>
      </c>
      <c r="G17" s="2">
        <v>177566</v>
      </c>
      <c r="H17" s="8">
        <v>33</v>
      </c>
      <c r="I17" s="3">
        <v>288</v>
      </c>
      <c r="J17" s="3">
        <v>40</v>
      </c>
      <c r="K17" s="3">
        <v>6</v>
      </c>
      <c r="M17" s="2">
        <v>177566</v>
      </c>
      <c r="N17" s="8">
        <v>33</v>
      </c>
      <c r="O17" s="8">
        <v>544</v>
      </c>
      <c r="P17" s="8">
        <v>261</v>
      </c>
      <c r="Q17" s="8">
        <v>63</v>
      </c>
      <c r="S17" s="2">
        <v>177566</v>
      </c>
      <c r="T17" s="8">
        <v>35</v>
      </c>
      <c r="U17" s="8">
        <v>120</v>
      </c>
      <c r="V17" s="8">
        <v>23</v>
      </c>
      <c r="W17" s="8">
        <v>5</v>
      </c>
    </row>
    <row r="18" spans="1:23">
      <c r="A18" s="2">
        <v>177591</v>
      </c>
      <c r="B18" s="8">
        <v>30</v>
      </c>
      <c r="C18" s="3">
        <v>439</v>
      </c>
      <c r="D18" s="3">
        <v>34</v>
      </c>
      <c r="E18" s="3">
        <v>24</v>
      </c>
      <c r="G18" s="2">
        <v>177591</v>
      </c>
      <c r="H18" s="8">
        <v>32</v>
      </c>
      <c r="I18" s="3">
        <v>453</v>
      </c>
      <c r="J18" s="3">
        <v>14</v>
      </c>
      <c r="K18" s="3">
        <v>17</v>
      </c>
      <c r="M18" s="2">
        <v>177591</v>
      </c>
      <c r="N18" s="8">
        <v>31</v>
      </c>
      <c r="O18" s="8">
        <f>15*60+36</f>
        <v>936</v>
      </c>
      <c r="P18" s="8">
        <v>29</v>
      </c>
      <c r="Q18" s="8">
        <v>18</v>
      </c>
      <c r="S18" s="2">
        <v>177591</v>
      </c>
      <c r="T18" s="8">
        <v>32</v>
      </c>
      <c r="U18" s="8">
        <f>8*60+46</f>
        <v>526</v>
      </c>
      <c r="V18" s="8">
        <v>38</v>
      </c>
      <c r="W18" s="8">
        <v>84</v>
      </c>
    </row>
    <row r="20" spans="1:23">
      <c r="B20" s="15" t="s">
        <v>1</v>
      </c>
      <c r="C20" s="15"/>
      <c r="D20" s="15"/>
      <c r="E20" s="15"/>
      <c r="H20" s="15" t="s">
        <v>2</v>
      </c>
      <c r="I20" s="15"/>
      <c r="J20" s="15"/>
      <c r="K20" s="15"/>
      <c r="N20" s="15" t="s">
        <v>3</v>
      </c>
      <c r="O20" s="15"/>
      <c r="P20" s="15"/>
      <c r="Q20" s="15"/>
      <c r="T20" s="15" t="s">
        <v>4</v>
      </c>
      <c r="U20" s="15"/>
      <c r="V20" s="15"/>
      <c r="W20" s="15"/>
    </row>
    <row r="21" spans="1:23">
      <c r="A21" s="8" t="s">
        <v>6</v>
      </c>
      <c r="B21" s="8" t="s">
        <v>10</v>
      </c>
      <c r="C21" s="8">
        <v>1</v>
      </c>
      <c r="D21" s="8">
        <v>2</v>
      </c>
      <c r="E21" s="8">
        <v>3</v>
      </c>
      <c r="G21" s="8" t="s">
        <v>6</v>
      </c>
      <c r="H21" s="8" t="s">
        <v>10</v>
      </c>
      <c r="I21" s="8">
        <v>1</v>
      </c>
      <c r="J21" s="8">
        <v>2</v>
      </c>
      <c r="K21" s="8">
        <v>3</v>
      </c>
      <c r="M21" s="8" t="s">
        <v>6</v>
      </c>
      <c r="N21" s="8" t="s">
        <v>10</v>
      </c>
      <c r="O21" s="8">
        <v>1</v>
      </c>
      <c r="P21" s="8">
        <v>2</v>
      </c>
      <c r="Q21" s="8">
        <v>3</v>
      </c>
      <c r="S21" s="8" t="s">
        <v>6</v>
      </c>
      <c r="T21" s="8" t="s">
        <v>10</v>
      </c>
      <c r="U21" s="8">
        <v>1</v>
      </c>
      <c r="V21" s="8">
        <v>2</v>
      </c>
      <c r="W21" s="8">
        <v>3</v>
      </c>
    </row>
    <row r="22" spans="1:23">
      <c r="A22" s="2">
        <v>176939</v>
      </c>
      <c r="B22" s="8">
        <v>36</v>
      </c>
      <c r="C22" s="2">
        <v>69</v>
      </c>
      <c r="D22" s="2">
        <v>130</v>
      </c>
      <c r="E22" s="2">
        <v>17</v>
      </c>
      <c r="G22" s="2">
        <v>176939</v>
      </c>
      <c r="H22" s="8">
        <v>37</v>
      </c>
      <c r="I22" s="2">
        <v>473</v>
      </c>
      <c r="J22" s="2">
        <v>302</v>
      </c>
      <c r="K22" s="2">
        <v>178</v>
      </c>
      <c r="M22" s="2">
        <v>176939</v>
      </c>
      <c r="N22" s="8">
        <v>35</v>
      </c>
      <c r="O22" s="8">
        <f>18*60+30</f>
        <v>1110</v>
      </c>
      <c r="P22" s="8">
        <v>327</v>
      </c>
      <c r="Q22" s="8">
        <v>90</v>
      </c>
      <c r="S22" s="2">
        <v>176939</v>
      </c>
      <c r="T22" s="8">
        <v>35</v>
      </c>
      <c r="U22" s="8">
        <f>4*60+22</f>
        <v>262</v>
      </c>
      <c r="V22" s="8">
        <v>106</v>
      </c>
      <c r="W22" s="8">
        <v>33</v>
      </c>
    </row>
    <row r="23" spans="1:23">
      <c r="A23" s="2">
        <v>175157</v>
      </c>
      <c r="B23" s="8">
        <v>33</v>
      </c>
      <c r="C23" s="2">
        <v>9</v>
      </c>
      <c r="D23" s="2">
        <v>18</v>
      </c>
      <c r="E23" s="2">
        <v>6</v>
      </c>
      <c r="G23" s="2">
        <v>175157</v>
      </c>
      <c r="H23" s="8">
        <v>34</v>
      </c>
      <c r="I23" s="2">
        <v>68</v>
      </c>
      <c r="J23" s="2">
        <v>10</v>
      </c>
      <c r="K23" s="2">
        <v>6</v>
      </c>
      <c r="M23" s="2">
        <v>175157</v>
      </c>
      <c r="N23" s="8">
        <v>35</v>
      </c>
      <c r="O23" s="8">
        <f>3*60+53</f>
        <v>233</v>
      </c>
      <c r="P23" s="8">
        <v>69</v>
      </c>
      <c r="Q23" s="8">
        <v>47</v>
      </c>
      <c r="S23" s="2">
        <v>175157</v>
      </c>
      <c r="T23" s="8">
        <v>35</v>
      </c>
      <c r="U23" s="8">
        <v>108</v>
      </c>
      <c r="V23" s="8">
        <v>19</v>
      </c>
      <c r="W23" s="8">
        <v>28</v>
      </c>
    </row>
    <row r="24" spans="1:23">
      <c r="A24" s="2">
        <v>176962</v>
      </c>
      <c r="B24" s="8">
        <v>31</v>
      </c>
      <c r="C24" s="2">
        <v>45</v>
      </c>
      <c r="D24" s="2">
        <v>17</v>
      </c>
      <c r="E24" s="2">
        <v>3</v>
      </c>
      <c r="G24" s="2">
        <v>176962</v>
      </c>
      <c r="H24" s="8">
        <v>33</v>
      </c>
      <c r="I24" s="2">
        <v>110</v>
      </c>
      <c r="J24" s="2">
        <v>5</v>
      </c>
      <c r="K24" s="2">
        <v>8</v>
      </c>
      <c r="M24" s="2">
        <v>176962</v>
      </c>
      <c r="N24" s="8">
        <v>34</v>
      </c>
      <c r="O24" s="8">
        <f>5*60+35</f>
        <v>335</v>
      </c>
      <c r="P24" s="8">
        <v>39</v>
      </c>
      <c r="Q24" s="8">
        <v>21</v>
      </c>
      <c r="S24" s="2">
        <v>176962</v>
      </c>
      <c r="T24" s="8">
        <v>34</v>
      </c>
      <c r="U24" s="8">
        <f>4*60+13</f>
        <v>253</v>
      </c>
      <c r="V24" s="8">
        <v>32</v>
      </c>
      <c r="W24" s="8">
        <v>19</v>
      </c>
    </row>
    <row r="25" spans="1:23">
      <c r="A25" s="2">
        <v>177567</v>
      </c>
      <c r="B25" s="8">
        <v>31</v>
      </c>
      <c r="C25" s="2">
        <v>786</v>
      </c>
      <c r="D25" s="2">
        <v>38</v>
      </c>
      <c r="E25" s="2">
        <v>362</v>
      </c>
      <c r="G25" s="2">
        <v>177567</v>
      </c>
      <c r="H25" s="8">
        <v>32</v>
      </c>
      <c r="I25" s="2">
        <v>2235</v>
      </c>
      <c r="J25" s="2">
        <v>30</v>
      </c>
      <c r="K25" s="2">
        <v>51</v>
      </c>
      <c r="M25" s="2">
        <v>177567</v>
      </c>
      <c r="N25" s="8">
        <v>32</v>
      </c>
      <c r="O25" s="8">
        <f>14*60+12</f>
        <v>852</v>
      </c>
      <c r="P25" s="8">
        <v>98</v>
      </c>
      <c r="Q25" s="8">
        <v>11</v>
      </c>
      <c r="S25" s="2">
        <v>177567</v>
      </c>
      <c r="T25" s="8">
        <v>33</v>
      </c>
      <c r="U25" s="8">
        <f>8*60+19</f>
        <v>499</v>
      </c>
      <c r="V25" s="8">
        <f>2*60+46</f>
        <v>166</v>
      </c>
      <c r="W25" s="8">
        <f>3*60+16</f>
        <v>196</v>
      </c>
    </row>
    <row r="26" spans="1:23">
      <c r="A26" s="2">
        <v>177592</v>
      </c>
      <c r="B26" s="8">
        <v>33</v>
      </c>
      <c r="C26" s="2">
        <v>68</v>
      </c>
      <c r="D26" s="2">
        <v>69</v>
      </c>
      <c r="E26" s="2">
        <v>9</v>
      </c>
      <c r="G26" s="2">
        <v>177592</v>
      </c>
      <c r="H26" s="8">
        <v>33</v>
      </c>
      <c r="I26" s="2">
        <v>250</v>
      </c>
      <c r="J26" s="2">
        <v>19</v>
      </c>
      <c r="K26" s="2">
        <v>22</v>
      </c>
      <c r="M26" s="2">
        <v>177592</v>
      </c>
      <c r="N26" s="8">
        <v>33</v>
      </c>
      <c r="O26" s="8">
        <f>9*60+35</f>
        <v>575</v>
      </c>
      <c r="P26" s="8">
        <v>15</v>
      </c>
      <c r="Q26" s="8">
        <v>30</v>
      </c>
      <c r="S26" s="2">
        <v>177592</v>
      </c>
      <c r="T26" s="8">
        <v>33</v>
      </c>
      <c r="U26" s="8">
        <f>3*60+4</f>
        <v>184</v>
      </c>
      <c r="V26" s="8">
        <v>35</v>
      </c>
      <c r="W26" s="8">
        <v>2</v>
      </c>
    </row>
    <row r="28" spans="1:23">
      <c r="B28" s="15" t="s">
        <v>1</v>
      </c>
      <c r="C28" s="15"/>
      <c r="D28" s="15"/>
      <c r="E28" s="15"/>
      <c r="H28" s="15" t="s">
        <v>2</v>
      </c>
      <c r="I28" s="15"/>
      <c r="J28" s="15"/>
      <c r="K28" s="15"/>
      <c r="N28" s="15" t="s">
        <v>3</v>
      </c>
      <c r="O28" s="15"/>
      <c r="P28" s="15"/>
      <c r="Q28" s="15"/>
      <c r="T28" s="15" t="s">
        <v>4</v>
      </c>
      <c r="U28" s="15"/>
      <c r="V28" s="15"/>
      <c r="W28" s="15"/>
    </row>
    <row r="29" spans="1:23">
      <c r="A29" s="8" t="s">
        <v>7</v>
      </c>
      <c r="B29" s="8" t="s">
        <v>10</v>
      </c>
      <c r="C29" s="8">
        <v>1</v>
      </c>
      <c r="D29" s="8">
        <v>2</v>
      </c>
      <c r="E29" s="8">
        <v>3</v>
      </c>
      <c r="G29" s="8" t="s">
        <v>7</v>
      </c>
      <c r="H29" s="8" t="s">
        <v>10</v>
      </c>
      <c r="I29" s="8">
        <v>1</v>
      </c>
      <c r="J29" s="8">
        <v>2</v>
      </c>
      <c r="K29" s="8">
        <v>3</v>
      </c>
      <c r="M29" s="8" t="s">
        <v>7</v>
      </c>
      <c r="N29" s="8" t="s">
        <v>10</v>
      </c>
      <c r="O29" s="8">
        <v>1</v>
      </c>
      <c r="P29" s="8">
        <v>2</v>
      </c>
      <c r="Q29" s="8">
        <v>3</v>
      </c>
      <c r="S29" s="8" t="s">
        <v>7</v>
      </c>
      <c r="T29" s="8" t="s">
        <v>10</v>
      </c>
      <c r="U29" s="8">
        <v>1</v>
      </c>
      <c r="V29" s="8">
        <v>2</v>
      </c>
      <c r="W29" s="8">
        <v>3</v>
      </c>
    </row>
    <row r="30" spans="1:23">
      <c r="A30" s="2">
        <v>177594</v>
      </c>
      <c r="B30" s="8">
        <v>29</v>
      </c>
      <c r="C30" s="2">
        <v>15</v>
      </c>
      <c r="D30" s="2">
        <v>267</v>
      </c>
      <c r="E30" s="2">
        <v>21</v>
      </c>
      <c r="G30" s="2">
        <v>177594</v>
      </c>
      <c r="H30" s="8">
        <v>31</v>
      </c>
      <c r="I30" s="2">
        <v>323</v>
      </c>
      <c r="J30" s="2">
        <v>19</v>
      </c>
      <c r="K30" s="2">
        <v>12</v>
      </c>
      <c r="M30" s="2">
        <v>177594</v>
      </c>
      <c r="N30" s="8">
        <v>32</v>
      </c>
      <c r="O30" s="8">
        <v>455</v>
      </c>
      <c r="P30" s="8">
        <v>51</v>
      </c>
      <c r="Q30" s="8">
        <v>14</v>
      </c>
      <c r="S30" s="2">
        <v>177594</v>
      </c>
      <c r="T30" s="8">
        <v>32</v>
      </c>
      <c r="U30" s="8">
        <f>2*60+40</f>
        <v>160</v>
      </c>
      <c r="V30" s="8">
        <v>8</v>
      </c>
      <c r="W30" s="8">
        <v>2</v>
      </c>
    </row>
    <row r="31" spans="1:23">
      <c r="A31" s="2">
        <v>177595</v>
      </c>
      <c r="B31" s="8">
        <v>35</v>
      </c>
      <c r="C31" s="2">
        <v>213</v>
      </c>
      <c r="D31" s="2">
        <v>89</v>
      </c>
      <c r="E31" s="2">
        <v>30</v>
      </c>
      <c r="G31" s="2">
        <v>177595</v>
      </c>
      <c r="H31" s="8">
        <v>34</v>
      </c>
      <c r="I31" s="2">
        <v>72</v>
      </c>
      <c r="J31" s="2">
        <v>18</v>
      </c>
      <c r="K31" s="2">
        <v>4</v>
      </c>
      <c r="M31" s="2">
        <v>177595</v>
      </c>
      <c r="N31" s="8">
        <v>33</v>
      </c>
      <c r="O31" s="8">
        <v>209</v>
      </c>
      <c r="P31" s="8">
        <v>19</v>
      </c>
      <c r="Q31" s="8">
        <v>15</v>
      </c>
      <c r="S31" s="2">
        <v>177595</v>
      </c>
      <c r="T31" s="8">
        <v>35</v>
      </c>
      <c r="U31" s="8">
        <v>94</v>
      </c>
      <c r="V31" s="8">
        <v>13</v>
      </c>
      <c r="W31" s="8">
        <v>5</v>
      </c>
    </row>
    <row r="32" spans="1:23">
      <c r="A32" s="2">
        <v>175159</v>
      </c>
      <c r="B32" s="8">
        <v>34</v>
      </c>
      <c r="C32" s="2">
        <v>160</v>
      </c>
      <c r="D32" s="2">
        <v>25</v>
      </c>
      <c r="E32" s="2">
        <v>19</v>
      </c>
      <c r="G32" s="2">
        <v>175159</v>
      </c>
      <c r="H32" s="8">
        <v>32</v>
      </c>
      <c r="I32" s="2">
        <v>254</v>
      </c>
      <c r="J32" s="2">
        <v>40</v>
      </c>
      <c r="K32" s="2">
        <v>9</v>
      </c>
      <c r="M32" s="2">
        <v>175159</v>
      </c>
      <c r="N32" s="8">
        <v>33</v>
      </c>
      <c r="O32" s="8">
        <v>225</v>
      </c>
      <c r="P32" s="8">
        <v>19</v>
      </c>
      <c r="Q32" s="8">
        <v>15</v>
      </c>
      <c r="S32" s="2">
        <v>175159</v>
      </c>
      <c r="T32" s="8">
        <v>34</v>
      </c>
      <c r="U32" s="8">
        <f>5*60+3</f>
        <v>303</v>
      </c>
      <c r="V32" s="8">
        <v>32</v>
      </c>
      <c r="W32" s="8">
        <v>10</v>
      </c>
    </row>
    <row r="33" spans="1:23">
      <c r="A33" s="2">
        <v>176941</v>
      </c>
      <c r="B33" s="8">
        <v>35</v>
      </c>
      <c r="C33" s="2">
        <v>59</v>
      </c>
      <c r="D33" s="2">
        <v>275</v>
      </c>
      <c r="E33" s="2">
        <v>6</v>
      </c>
      <c r="G33" s="2">
        <v>176941</v>
      </c>
      <c r="H33" s="8">
        <v>36</v>
      </c>
      <c r="I33" s="2">
        <v>140</v>
      </c>
      <c r="J33" s="2">
        <v>15</v>
      </c>
      <c r="K33" s="2">
        <v>2</v>
      </c>
      <c r="M33" s="2">
        <v>176941</v>
      </c>
      <c r="N33" s="8">
        <v>36</v>
      </c>
      <c r="O33" s="8">
        <v>198</v>
      </c>
      <c r="P33" s="8">
        <v>49</v>
      </c>
      <c r="Q33" s="8">
        <v>28</v>
      </c>
      <c r="S33" s="2">
        <v>176941</v>
      </c>
      <c r="T33" s="8">
        <v>35</v>
      </c>
      <c r="U33" s="8">
        <f>2*60+20</f>
        <v>140</v>
      </c>
      <c r="V33" s="8">
        <v>64</v>
      </c>
      <c r="W33" s="8">
        <v>40</v>
      </c>
    </row>
    <row r="34" spans="1:23">
      <c r="A34" s="2">
        <v>176964</v>
      </c>
      <c r="B34" s="8">
        <v>29</v>
      </c>
      <c r="C34" s="2">
        <v>103</v>
      </c>
      <c r="D34" s="2">
        <v>27</v>
      </c>
      <c r="E34" s="2">
        <v>53</v>
      </c>
      <c r="G34" s="2">
        <v>176964</v>
      </c>
      <c r="H34" s="8">
        <v>32</v>
      </c>
      <c r="I34" s="2">
        <v>779</v>
      </c>
      <c r="J34" s="2">
        <v>71</v>
      </c>
      <c r="K34" s="2">
        <v>77</v>
      </c>
      <c r="M34" s="2">
        <v>176964</v>
      </c>
      <c r="N34" s="8">
        <v>29</v>
      </c>
      <c r="O34" s="8">
        <f>13*60+32</f>
        <v>812</v>
      </c>
      <c r="P34" s="8">
        <v>35</v>
      </c>
      <c r="Q34" s="8">
        <v>120</v>
      </c>
      <c r="S34" s="2">
        <v>176964</v>
      </c>
      <c r="T34" s="8">
        <v>31</v>
      </c>
      <c r="U34" s="8">
        <f>4*60+34</f>
        <v>274</v>
      </c>
      <c r="V34" s="8">
        <v>34</v>
      </c>
      <c r="W34" s="8">
        <v>12</v>
      </c>
    </row>
    <row r="35" spans="1:23">
      <c r="A35" s="2">
        <v>177569</v>
      </c>
      <c r="B35" s="8">
        <v>39</v>
      </c>
      <c r="C35" s="2">
        <v>591</v>
      </c>
      <c r="D35" s="2">
        <v>187</v>
      </c>
      <c r="E35" s="2">
        <v>77</v>
      </c>
      <c r="G35" s="2">
        <v>177569</v>
      </c>
      <c r="H35" s="8">
        <v>37</v>
      </c>
      <c r="I35" s="2">
        <v>359</v>
      </c>
      <c r="J35" s="2">
        <v>37</v>
      </c>
      <c r="K35" s="2">
        <v>52</v>
      </c>
      <c r="M35" s="2">
        <v>177569</v>
      </c>
      <c r="N35" s="8">
        <v>36</v>
      </c>
      <c r="O35" s="8">
        <v>340</v>
      </c>
      <c r="P35" s="8">
        <v>122</v>
      </c>
      <c r="Q35" s="8">
        <v>24</v>
      </c>
      <c r="S35" s="2">
        <v>177569</v>
      </c>
      <c r="T35" s="8">
        <v>38</v>
      </c>
      <c r="U35" s="8">
        <v>119</v>
      </c>
      <c r="V35" s="8">
        <v>46</v>
      </c>
      <c r="W35" s="8">
        <v>54</v>
      </c>
    </row>
    <row r="37" spans="1:23">
      <c r="B37" s="15" t="s">
        <v>1</v>
      </c>
      <c r="C37" s="15"/>
      <c r="D37" s="15"/>
      <c r="E37" s="15"/>
      <c r="H37" s="15" t="s">
        <v>2</v>
      </c>
      <c r="I37" s="15"/>
      <c r="J37" s="15"/>
      <c r="K37" s="15"/>
      <c r="N37" s="15" t="s">
        <v>3</v>
      </c>
      <c r="O37" s="15"/>
      <c r="P37" s="15"/>
      <c r="Q37" s="15"/>
      <c r="T37" s="15" t="s">
        <v>4</v>
      </c>
      <c r="U37" s="15"/>
      <c r="V37" s="15"/>
      <c r="W37" s="15"/>
    </row>
    <row r="38" spans="1:23">
      <c r="A38" s="8" t="s">
        <v>8</v>
      </c>
      <c r="B38" s="8" t="s">
        <v>10</v>
      </c>
      <c r="C38" s="8">
        <v>1</v>
      </c>
      <c r="D38" s="8">
        <v>2</v>
      </c>
      <c r="E38" s="8">
        <v>3</v>
      </c>
      <c r="G38" s="8" t="s">
        <v>8</v>
      </c>
      <c r="H38" s="8" t="s">
        <v>10</v>
      </c>
      <c r="I38" s="8">
        <v>1</v>
      </c>
      <c r="J38" s="8">
        <v>2</v>
      </c>
      <c r="K38" s="8">
        <v>3</v>
      </c>
      <c r="M38" s="8" t="s">
        <v>8</v>
      </c>
      <c r="N38" s="8" t="s">
        <v>10</v>
      </c>
      <c r="O38" s="8">
        <v>1</v>
      </c>
      <c r="P38" s="8">
        <v>2</v>
      </c>
      <c r="Q38" s="8">
        <v>3</v>
      </c>
      <c r="S38" s="8" t="s">
        <v>8</v>
      </c>
      <c r="T38" s="8" t="s">
        <v>10</v>
      </c>
      <c r="U38" s="8">
        <v>1</v>
      </c>
      <c r="V38" s="8">
        <v>2</v>
      </c>
      <c r="W38" s="8">
        <v>3</v>
      </c>
    </row>
    <row r="39" spans="1:23">
      <c r="A39" s="10">
        <v>175158</v>
      </c>
      <c r="B39" s="8">
        <v>30</v>
      </c>
      <c r="C39" s="6">
        <v>8</v>
      </c>
      <c r="D39" s="6">
        <v>26</v>
      </c>
      <c r="E39" s="6">
        <v>28</v>
      </c>
      <c r="G39" s="10">
        <v>175158</v>
      </c>
      <c r="H39" s="8">
        <v>31</v>
      </c>
      <c r="I39" s="6">
        <v>325</v>
      </c>
      <c r="J39" s="6">
        <v>13</v>
      </c>
      <c r="K39" s="6">
        <v>15</v>
      </c>
      <c r="M39" s="10">
        <v>175158</v>
      </c>
      <c r="S39" s="10">
        <v>175158</v>
      </c>
      <c r="T39"/>
    </row>
    <row r="40" spans="1:23">
      <c r="A40" s="10">
        <v>176940</v>
      </c>
      <c r="B40" s="8">
        <v>32</v>
      </c>
      <c r="C40" s="6">
        <v>265</v>
      </c>
      <c r="D40" s="6">
        <v>49</v>
      </c>
      <c r="E40" s="6">
        <v>54</v>
      </c>
      <c r="G40" s="10">
        <v>176940</v>
      </c>
      <c r="H40" s="8">
        <v>36</v>
      </c>
      <c r="I40" s="6">
        <v>372</v>
      </c>
      <c r="J40" s="6">
        <v>88</v>
      </c>
      <c r="K40" s="6">
        <v>36</v>
      </c>
      <c r="M40" s="10">
        <v>176940</v>
      </c>
      <c r="N40" s="8">
        <v>38</v>
      </c>
      <c r="O40" s="8">
        <v>345</v>
      </c>
      <c r="P40" s="8">
        <v>100</v>
      </c>
      <c r="Q40" s="8">
        <v>19</v>
      </c>
      <c r="S40" s="10">
        <v>176940</v>
      </c>
      <c r="T40" s="8">
        <v>38</v>
      </c>
      <c r="U40" s="8">
        <f>5*60+43</f>
        <v>343</v>
      </c>
      <c r="V40" s="8">
        <v>92</v>
      </c>
      <c r="W40" s="8">
        <v>66</v>
      </c>
    </row>
    <row r="41" spans="1:23">
      <c r="A41" s="10">
        <v>176963</v>
      </c>
      <c r="B41" s="8">
        <v>32</v>
      </c>
      <c r="C41" s="6">
        <v>119</v>
      </c>
      <c r="D41" s="6">
        <v>46</v>
      </c>
      <c r="E41" s="6">
        <v>13</v>
      </c>
      <c r="G41" s="10">
        <v>176963</v>
      </c>
      <c r="H41" s="8">
        <v>33</v>
      </c>
      <c r="I41" s="6">
        <v>75</v>
      </c>
      <c r="J41" s="6">
        <v>13</v>
      </c>
      <c r="K41" s="6">
        <v>4</v>
      </c>
      <c r="M41" s="10">
        <v>176963</v>
      </c>
      <c r="N41" s="8">
        <v>33</v>
      </c>
      <c r="O41" s="8">
        <v>115</v>
      </c>
      <c r="P41" s="8">
        <v>91</v>
      </c>
      <c r="Q41" s="8">
        <v>15</v>
      </c>
      <c r="S41" s="10">
        <v>176963</v>
      </c>
      <c r="T41" s="8">
        <v>35</v>
      </c>
      <c r="U41" s="8">
        <v>93</v>
      </c>
      <c r="V41" s="8">
        <v>20</v>
      </c>
      <c r="W41" s="8">
        <v>5</v>
      </c>
    </row>
    <row r="42" spans="1:23">
      <c r="A42" s="10">
        <v>177568</v>
      </c>
      <c r="B42" s="8">
        <v>31</v>
      </c>
      <c r="C42" s="6">
        <v>1706</v>
      </c>
      <c r="D42" s="6">
        <v>32</v>
      </c>
      <c r="E42" s="6">
        <v>64</v>
      </c>
      <c r="G42" s="10">
        <v>177568</v>
      </c>
      <c r="H42" s="8">
        <v>31</v>
      </c>
      <c r="I42" s="6">
        <v>373</v>
      </c>
      <c r="J42" s="6">
        <v>24</v>
      </c>
      <c r="K42" s="6">
        <v>26</v>
      </c>
      <c r="M42" s="10">
        <v>177568</v>
      </c>
      <c r="N42" s="8">
        <v>32</v>
      </c>
      <c r="O42" s="8">
        <v>423</v>
      </c>
      <c r="P42" s="8">
        <v>71</v>
      </c>
      <c r="Q42" s="8">
        <v>25</v>
      </c>
      <c r="S42" s="10">
        <v>177568</v>
      </c>
      <c r="T42" s="8">
        <v>32</v>
      </c>
      <c r="U42" s="8">
        <v>107</v>
      </c>
      <c r="V42" s="8">
        <v>25</v>
      </c>
      <c r="W42" s="8">
        <v>14</v>
      </c>
    </row>
    <row r="43" spans="1:23">
      <c r="A43" s="10">
        <v>177593</v>
      </c>
      <c r="B43" s="8">
        <v>34</v>
      </c>
      <c r="C43" s="6">
        <v>320</v>
      </c>
      <c r="D43" s="6">
        <v>31</v>
      </c>
      <c r="E43" s="6">
        <v>17</v>
      </c>
      <c r="G43" s="10">
        <v>177593</v>
      </c>
      <c r="H43" s="8">
        <v>34</v>
      </c>
      <c r="I43" s="6">
        <v>440</v>
      </c>
      <c r="J43" s="6">
        <v>103</v>
      </c>
      <c r="K43" s="6">
        <v>47</v>
      </c>
      <c r="M43" s="10">
        <v>177593</v>
      </c>
      <c r="N43" s="8">
        <v>33</v>
      </c>
      <c r="O43" s="8">
        <f>16*60+33</f>
        <v>993</v>
      </c>
      <c r="P43" s="8">
        <v>43</v>
      </c>
      <c r="Q43" s="8">
        <v>25</v>
      </c>
      <c r="S43" s="10">
        <v>177593</v>
      </c>
      <c r="T43" s="8">
        <v>33</v>
      </c>
      <c r="U43" s="8">
        <f>11*60+50</f>
        <v>710</v>
      </c>
      <c r="V43" s="8">
        <v>20</v>
      </c>
      <c r="W43" s="8">
        <v>150</v>
      </c>
    </row>
    <row r="45" spans="1:23">
      <c r="B45" s="15" t="s">
        <v>1</v>
      </c>
      <c r="C45" s="15"/>
      <c r="D45" s="15"/>
      <c r="E45" s="15"/>
      <c r="H45" s="15" t="s">
        <v>2</v>
      </c>
      <c r="I45" s="15"/>
      <c r="J45" s="15"/>
      <c r="K45" s="15"/>
      <c r="N45" s="15" t="s">
        <v>3</v>
      </c>
      <c r="O45" s="15"/>
      <c r="P45" s="15"/>
      <c r="Q45" s="15"/>
      <c r="T45" s="15" t="s">
        <v>4</v>
      </c>
      <c r="U45" s="15"/>
      <c r="V45" s="15"/>
      <c r="W45" s="15"/>
    </row>
    <row r="46" spans="1:23">
      <c r="A46" s="8" t="s">
        <v>9</v>
      </c>
      <c r="B46" s="8" t="s">
        <v>10</v>
      </c>
      <c r="C46" s="8">
        <v>1</v>
      </c>
      <c r="D46" s="8">
        <v>2</v>
      </c>
      <c r="E46" s="8">
        <v>3</v>
      </c>
      <c r="G46" s="8" t="s">
        <v>9</v>
      </c>
      <c r="H46" s="8" t="s">
        <v>10</v>
      </c>
      <c r="I46" s="8">
        <v>1</v>
      </c>
      <c r="J46" s="8">
        <v>2</v>
      </c>
      <c r="K46" s="8">
        <v>3</v>
      </c>
      <c r="M46" s="8" t="s">
        <v>9</v>
      </c>
      <c r="N46" s="8" t="s">
        <v>10</v>
      </c>
      <c r="O46" s="8">
        <v>1</v>
      </c>
      <c r="P46" s="8">
        <v>2</v>
      </c>
      <c r="Q46" s="8">
        <v>3</v>
      </c>
      <c r="S46" s="9" t="s">
        <v>9</v>
      </c>
      <c r="T46" s="8" t="s">
        <v>10</v>
      </c>
      <c r="U46" s="8">
        <v>1</v>
      </c>
      <c r="V46" s="8">
        <v>2</v>
      </c>
      <c r="W46" s="8">
        <v>3</v>
      </c>
    </row>
    <row r="47" spans="1:23">
      <c r="A47" s="8">
        <v>185764</v>
      </c>
      <c r="B47" s="8">
        <v>31</v>
      </c>
      <c r="C47" s="8">
        <f>8*60+42</f>
        <v>522</v>
      </c>
      <c r="D47" s="8">
        <f>7*60+38</f>
        <v>458</v>
      </c>
      <c r="E47" s="8">
        <v>101</v>
      </c>
      <c r="G47" s="8">
        <v>185764</v>
      </c>
      <c r="H47" s="8">
        <v>33</v>
      </c>
      <c r="I47" s="8">
        <f>6*60+57</f>
        <v>417</v>
      </c>
      <c r="J47" s="8">
        <v>105</v>
      </c>
      <c r="K47" s="8">
        <f>4*60+8</f>
        <v>248</v>
      </c>
      <c r="M47" s="8">
        <v>185764</v>
      </c>
      <c r="N47" s="8">
        <v>35</v>
      </c>
      <c r="O47" s="8">
        <v>106</v>
      </c>
      <c r="P47" s="8">
        <v>20</v>
      </c>
      <c r="Q47" s="8">
        <v>20</v>
      </c>
      <c r="S47" s="9">
        <v>185764</v>
      </c>
      <c r="T47" s="8">
        <v>36</v>
      </c>
      <c r="U47" s="8">
        <v>157</v>
      </c>
      <c r="V47" s="8">
        <v>17</v>
      </c>
      <c r="W47" s="8">
        <v>18</v>
      </c>
    </row>
    <row r="48" spans="1:23">
      <c r="A48" s="8">
        <v>185765</v>
      </c>
      <c r="B48" s="8">
        <v>29</v>
      </c>
      <c r="C48" s="8">
        <f>11*60+5</f>
        <v>665</v>
      </c>
      <c r="D48" s="8">
        <f>9*60+15</f>
        <v>555</v>
      </c>
      <c r="E48" s="8">
        <f>8*60+8</f>
        <v>488</v>
      </c>
      <c r="G48" s="8">
        <v>185765</v>
      </c>
      <c r="H48" s="8">
        <v>30</v>
      </c>
      <c r="I48" s="8">
        <f>8*60+26</f>
        <v>506</v>
      </c>
      <c r="J48" s="8">
        <f>3*60+17</f>
        <v>197</v>
      </c>
      <c r="K48" s="8">
        <v>43</v>
      </c>
      <c r="M48" s="8">
        <v>185765</v>
      </c>
      <c r="N48" s="8">
        <v>33</v>
      </c>
      <c r="O48" s="8">
        <v>133</v>
      </c>
      <c r="P48" s="8">
        <v>18</v>
      </c>
      <c r="Q48" s="8">
        <v>5</v>
      </c>
      <c r="S48" s="9">
        <v>185765</v>
      </c>
      <c r="T48" s="8">
        <v>34</v>
      </c>
      <c r="U48" s="8">
        <v>20</v>
      </c>
      <c r="V48" s="8">
        <v>185</v>
      </c>
      <c r="W48" s="8">
        <v>14</v>
      </c>
    </row>
    <row r="49" spans="1:23">
      <c r="A49" s="8">
        <v>185772</v>
      </c>
      <c r="B49" s="8">
        <v>34</v>
      </c>
      <c r="C49" s="8">
        <f>40*60+33</f>
        <v>2433</v>
      </c>
      <c r="D49" s="8">
        <v>68</v>
      </c>
      <c r="E49" s="8">
        <v>38</v>
      </c>
      <c r="G49" s="8">
        <v>185772</v>
      </c>
      <c r="H49" s="8">
        <v>36</v>
      </c>
      <c r="I49" s="8">
        <f>8*60+31</f>
        <v>511</v>
      </c>
      <c r="J49" s="8">
        <v>67</v>
      </c>
      <c r="K49" s="8">
        <v>36</v>
      </c>
      <c r="M49" s="8">
        <v>185772</v>
      </c>
      <c r="N49" s="8">
        <v>38</v>
      </c>
      <c r="O49" s="8">
        <v>33</v>
      </c>
      <c r="P49" s="8">
        <v>13</v>
      </c>
      <c r="Q49" s="8">
        <v>7</v>
      </c>
      <c r="S49" s="9">
        <v>185772</v>
      </c>
      <c r="T49" s="8">
        <v>39</v>
      </c>
      <c r="U49" s="8">
        <v>161</v>
      </c>
      <c r="V49" s="8">
        <v>7</v>
      </c>
      <c r="W49" s="8">
        <v>15</v>
      </c>
    </row>
    <row r="50" spans="1:23">
      <c r="S50" s="9"/>
    </row>
    <row r="51" spans="1:23">
      <c r="B51" s="15" t="s">
        <v>1</v>
      </c>
      <c r="C51" s="15"/>
      <c r="D51" s="15"/>
      <c r="E51" s="15"/>
      <c r="H51" s="15" t="s">
        <v>2</v>
      </c>
      <c r="I51" s="15"/>
      <c r="J51" s="15"/>
      <c r="K51" s="15"/>
      <c r="N51" s="15" t="s">
        <v>3</v>
      </c>
      <c r="O51" s="15"/>
      <c r="P51" s="15"/>
      <c r="Q51" s="15"/>
      <c r="S51" s="9"/>
      <c r="T51" s="15" t="s">
        <v>4</v>
      </c>
      <c r="U51" s="15"/>
      <c r="V51" s="15"/>
      <c r="W51" s="15"/>
    </row>
    <row r="52" spans="1:23">
      <c r="A52" s="8" t="s">
        <v>11</v>
      </c>
      <c r="B52" s="8" t="s">
        <v>10</v>
      </c>
      <c r="C52" s="8">
        <v>1</v>
      </c>
      <c r="D52" s="8">
        <v>2</v>
      </c>
      <c r="E52" s="8">
        <v>3</v>
      </c>
      <c r="G52" s="8" t="s">
        <v>11</v>
      </c>
      <c r="H52" s="8" t="s">
        <v>10</v>
      </c>
      <c r="I52" s="8">
        <v>1</v>
      </c>
      <c r="J52" s="8">
        <v>2</v>
      </c>
      <c r="K52" s="8">
        <v>3</v>
      </c>
      <c r="M52" s="8" t="s">
        <v>11</v>
      </c>
      <c r="N52" s="8" t="s">
        <v>10</v>
      </c>
      <c r="O52" s="8">
        <v>1</v>
      </c>
      <c r="P52" s="8">
        <v>2</v>
      </c>
      <c r="Q52" s="8">
        <v>3</v>
      </c>
      <c r="S52" s="9" t="s">
        <v>11</v>
      </c>
      <c r="T52" s="8" t="s">
        <v>10</v>
      </c>
      <c r="U52" s="8">
        <v>1</v>
      </c>
      <c r="V52" s="8">
        <v>2</v>
      </c>
      <c r="W52" s="8">
        <v>3</v>
      </c>
    </row>
    <row r="53" spans="1:23">
      <c r="A53" s="8">
        <v>185397</v>
      </c>
      <c r="B53" s="8">
        <v>30</v>
      </c>
      <c r="C53" s="8">
        <f>8*60+4</f>
        <v>484</v>
      </c>
      <c r="D53" s="8">
        <v>84</v>
      </c>
      <c r="E53" s="8">
        <f>6*60+54</f>
        <v>414</v>
      </c>
      <c r="G53" s="8">
        <v>185397</v>
      </c>
      <c r="H53" s="8">
        <v>29</v>
      </c>
      <c r="I53" s="8">
        <f>14*60+58</f>
        <v>898</v>
      </c>
      <c r="J53" s="8">
        <v>36</v>
      </c>
      <c r="K53" s="8">
        <v>126</v>
      </c>
      <c r="M53" s="8">
        <v>185397</v>
      </c>
      <c r="N53" s="8">
        <v>31</v>
      </c>
      <c r="O53" s="8">
        <v>170</v>
      </c>
      <c r="P53" s="8">
        <v>51</v>
      </c>
      <c r="Q53" s="8">
        <v>34</v>
      </c>
      <c r="S53" s="9">
        <v>185397</v>
      </c>
      <c r="T53" s="8">
        <v>33</v>
      </c>
      <c r="U53" s="8">
        <v>430</v>
      </c>
      <c r="V53" s="8">
        <v>20</v>
      </c>
      <c r="W53" s="8">
        <v>23</v>
      </c>
    </row>
    <row r="54" spans="1:23">
      <c r="A54" s="8">
        <v>185766</v>
      </c>
      <c r="B54" s="8">
        <v>32</v>
      </c>
      <c r="C54" s="8">
        <f>7*60+43</f>
        <v>463</v>
      </c>
      <c r="D54" s="8">
        <v>151</v>
      </c>
      <c r="E54" s="8">
        <v>125</v>
      </c>
      <c r="G54" s="8">
        <v>185766</v>
      </c>
      <c r="H54" s="8">
        <v>33</v>
      </c>
      <c r="I54" s="8">
        <f>9*60+8</f>
        <v>548</v>
      </c>
      <c r="J54" s="8">
        <v>35</v>
      </c>
      <c r="K54" s="8">
        <v>15</v>
      </c>
      <c r="M54" s="8">
        <v>185766</v>
      </c>
      <c r="N54" s="8">
        <v>35</v>
      </c>
      <c r="O54" s="8">
        <v>150</v>
      </c>
      <c r="P54" s="8">
        <v>35</v>
      </c>
      <c r="Q54" s="8">
        <v>18</v>
      </c>
      <c r="S54" s="9">
        <v>185766</v>
      </c>
      <c r="T54" s="8">
        <v>36</v>
      </c>
      <c r="U54" s="8">
        <v>98</v>
      </c>
      <c r="V54" s="8">
        <v>6</v>
      </c>
      <c r="W54" s="8">
        <v>8</v>
      </c>
    </row>
    <row r="55" spans="1:23">
      <c r="A55" s="8">
        <v>185773</v>
      </c>
      <c r="B55" s="8">
        <v>32</v>
      </c>
      <c r="C55" s="8">
        <f>8*60+20</f>
        <v>500</v>
      </c>
      <c r="D55" s="8">
        <v>107</v>
      </c>
      <c r="E55" s="8">
        <v>149</v>
      </c>
      <c r="G55" s="8">
        <v>185773</v>
      </c>
      <c r="H55" s="8">
        <v>33</v>
      </c>
      <c r="I55" s="8">
        <v>118</v>
      </c>
      <c r="J55" s="8">
        <v>69</v>
      </c>
      <c r="K55" s="8">
        <v>6</v>
      </c>
      <c r="M55" s="8">
        <v>185773</v>
      </c>
      <c r="N55" s="8">
        <v>36</v>
      </c>
      <c r="O55" s="8">
        <v>159</v>
      </c>
      <c r="P55" s="8">
        <v>18</v>
      </c>
      <c r="Q55" s="8">
        <v>6</v>
      </c>
      <c r="S55" s="9">
        <v>185773</v>
      </c>
      <c r="T55" s="8">
        <v>37</v>
      </c>
      <c r="U55" s="8">
        <v>149</v>
      </c>
      <c r="V55" s="8">
        <v>11</v>
      </c>
      <c r="W55" s="8">
        <v>9</v>
      </c>
    </row>
    <row r="56" spans="1:23">
      <c r="S56" s="9"/>
    </row>
    <row r="57" spans="1:23">
      <c r="B57" s="15" t="s">
        <v>1</v>
      </c>
      <c r="C57" s="15"/>
      <c r="D57" s="15"/>
      <c r="E57" s="15"/>
      <c r="H57" s="15" t="s">
        <v>2</v>
      </c>
      <c r="I57" s="15"/>
      <c r="J57" s="15"/>
      <c r="K57" s="15"/>
      <c r="N57" s="15" t="s">
        <v>3</v>
      </c>
      <c r="O57" s="15"/>
      <c r="P57" s="15"/>
      <c r="Q57" s="15"/>
      <c r="S57" s="9"/>
      <c r="T57" s="15" t="s">
        <v>4</v>
      </c>
      <c r="U57" s="15"/>
      <c r="V57" s="15"/>
      <c r="W57" s="15"/>
    </row>
    <row r="58" spans="1:23">
      <c r="A58" s="8" t="s">
        <v>12</v>
      </c>
      <c r="B58" s="8" t="s">
        <v>10</v>
      </c>
      <c r="C58" s="8">
        <v>1</v>
      </c>
      <c r="D58" s="8">
        <v>2</v>
      </c>
      <c r="E58" s="8">
        <v>3</v>
      </c>
      <c r="G58" s="8" t="s">
        <v>12</v>
      </c>
      <c r="H58" s="8" t="s">
        <v>10</v>
      </c>
      <c r="I58" s="8">
        <v>1</v>
      </c>
      <c r="J58" s="8">
        <v>2</v>
      </c>
      <c r="K58" s="8">
        <v>3</v>
      </c>
      <c r="M58" s="8" t="s">
        <v>12</v>
      </c>
      <c r="N58" s="8" t="s">
        <v>10</v>
      </c>
      <c r="O58" s="8">
        <v>1</v>
      </c>
      <c r="P58" s="8">
        <v>2</v>
      </c>
      <c r="Q58" s="8">
        <v>3</v>
      </c>
      <c r="S58" s="9" t="s">
        <v>12</v>
      </c>
      <c r="T58" s="8" t="s">
        <v>10</v>
      </c>
      <c r="U58" s="8">
        <v>1</v>
      </c>
      <c r="V58" s="8">
        <v>2</v>
      </c>
      <c r="W58" s="8">
        <v>3</v>
      </c>
    </row>
    <row r="59" spans="1:23">
      <c r="A59" s="8">
        <v>185767</v>
      </c>
      <c r="B59" s="8">
        <v>28</v>
      </c>
      <c r="C59" s="8">
        <f>12*60+53</f>
        <v>773</v>
      </c>
      <c r="D59" s="8">
        <v>62</v>
      </c>
      <c r="E59" s="8">
        <v>49</v>
      </c>
      <c r="G59" s="8">
        <v>185767</v>
      </c>
      <c r="H59" s="8">
        <v>30</v>
      </c>
      <c r="I59" s="8">
        <f>11*60+57</f>
        <v>717</v>
      </c>
      <c r="J59" s="8">
        <v>61</v>
      </c>
      <c r="K59" s="8">
        <f>9*60</f>
        <v>540</v>
      </c>
      <c r="M59" s="8">
        <v>185767</v>
      </c>
      <c r="N59" s="8">
        <v>32</v>
      </c>
      <c r="O59" s="8">
        <f>4*60+31</f>
        <v>271</v>
      </c>
      <c r="P59" s="8">
        <v>108</v>
      </c>
      <c r="Q59" s="8">
        <v>31</v>
      </c>
      <c r="S59" s="9">
        <v>185767</v>
      </c>
      <c r="T59" s="8">
        <v>34</v>
      </c>
      <c r="U59" s="8">
        <v>257</v>
      </c>
      <c r="V59" s="8">
        <v>18</v>
      </c>
      <c r="W59" s="8">
        <v>10</v>
      </c>
    </row>
    <row r="60" spans="1:23">
      <c r="A60" s="8">
        <v>185774</v>
      </c>
      <c r="B60" s="8">
        <v>32</v>
      </c>
      <c r="C60" s="8">
        <f>6*60+57</f>
        <v>417</v>
      </c>
      <c r="D60" s="8">
        <v>94</v>
      </c>
      <c r="E60" s="8">
        <f>3*60+33</f>
        <v>213</v>
      </c>
      <c r="G60" s="8">
        <v>185774</v>
      </c>
      <c r="H60" s="8">
        <v>33</v>
      </c>
      <c r="I60" s="8">
        <f>6*60+19</f>
        <v>379</v>
      </c>
      <c r="J60" s="8">
        <v>121</v>
      </c>
      <c r="K60" s="8">
        <v>117</v>
      </c>
      <c r="M60" s="8">
        <v>185774</v>
      </c>
      <c r="N60" s="8">
        <v>35</v>
      </c>
      <c r="O60" s="8">
        <v>139</v>
      </c>
      <c r="P60" s="8">
        <v>29</v>
      </c>
      <c r="Q60" s="8">
        <v>9</v>
      </c>
      <c r="S60" s="9">
        <v>185774</v>
      </c>
      <c r="T60" s="8">
        <v>36</v>
      </c>
      <c r="U60" s="8">
        <v>160</v>
      </c>
      <c r="V60" s="8">
        <v>28</v>
      </c>
      <c r="W60" s="8">
        <v>9</v>
      </c>
    </row>
    <row r="61" spans="1:23">
      <c r="S61" s="9"/>
    </row>
    <row r="62" spans="1:23">
      <c r="B62" s="15" t="s">
        <v>1</v>
      </c>
      <c r="C62" s="15"/>
      <c r="D62" s="15"/>
      <c r="E62" s="15"/>
      <c r="H62" s="15" t="s">
        <v>2</v>
      </c>
      <c r="I62" s="15"/>
      <c r="J62" s="15"/>
      <c r="K62" s="15"/>
      <c r="N62" s="15" t="s">
        <v>3</v>
      </c>
      <c r="O62" s="15"/>
      <c r="P62" s="15"/>
      <c r="Q62" s="15"/>
      <c r="S62" s="9"/>
      <c r="T62" s="15" t="s">
        <v>4</v>
      </c>
      <c r="U62" s="15"/>
      <c r="V62" s="15"/>
      <c r="W62" s="15"/>
    </row>
    <row r="63" spans="1:23">
      <c r="A63" s="8" t="s">
        <v>13</v>
      </c>
      <c r="B63" s="8" t="s">
        <v>10</v>
      </c>
      <c r="C63" s="8">
        <v>1</v>
      </c>
      <c r="D63" s="8">
        <v>2</v>
      </c>
      <c r="E63" s="8">
        <v>3</v>
      </c>
      <c r="G63" s="8" t="s">
        <v>13</v>
      </c>
      <c r="H63" s="8" t="s">
        <v>10</v>
      </c>
      <c r="I63" s="8">
        <v>1</v>
      </c>
      <c r="J63" s="8">
        <v>2</v>
      </c>
      <c r="K63" s="8">
        <v>3</v>
      </c>
      <c r="M63" s="8" t="s">
        <v>13</v>
      </c>
      <c r="N63" s="8" t="s">
        <v>10</v>
      </c>
      <c r="O63" s="8">
        <v>1</v>
      </c>
      <c r="P63" s="8">
        <v>2</v>
      </c>
      <c r="Q63" s="8">
        <v>3</v>
      </c>
      <c r="S63" s="9" t="s">
        <v>13</v>
      </c>
      <c r="T63" s="8" t="s">
        <v>10</v>
      </c>
      <c r="U63" s="8">
        <v>1</v>
      </c>
      <c r="V63" s="8">
        <v>2</v>
      </c>
      <c r="W63" s="8">
        <v>3</v>
      </c>
    </row>
    <row r="64" spans="1:23">
      <c r="A64" s="8">
        <v>185398</v>
      </c>
      <c r="B64" s="8">
        <v>36</v>
      </c>
      <c r="C64" s="8">
        <f>3*60+42</f>
        <v>222</v>
      </c>
      <c r="D64" s="8">
        <v>54</v>
      </c>
      <c r="E64" s="8">
        <v>27</v>
      </c>
      <c r="G64" s="8">
        <v>185398</v>
      </c>
      <c r="H64" s="8">
        <v>38</v>
      </c>
      <c r="I64" s="8">
        <v>144</v>
      </c>
      <c r="J64" s="8">
        <v>90</v>
      </c>
      <c r="K64" s="8">
        <v>29</v>
      </c>
      <c r="M64" s="8">
        <v>185398</v>
      </c>
      <c r="N64" s="8">
        <v>41</v>
      </c>
      <c r="O64" s="8">
        <v>180</v>
      </c>
      <c r="P64" s="8">
        <v>38</v>
      </c>
      <c r="Q64" s="8">
        <v>19</v>
      </c>
      <c r="S64" s="9">
        <v>185398</v>
      </c>
      <c r="T64" s="8">
        <v>46</v>
      </c>
      <c r="U64" s="8">
        <v>5</v>
      </c>
      <c r="V64" s="8">
        <v>44</v>
      </c>
      <c r="W64" s="8">
        <v>5</v>
      </c>
    </row>
    <row r="65" spans="1:23">
      <c r="A65" s="8">
        <v>185399</v>
      </c>
      <c r="B65" s="8">
        <v>36</v>
      </c>
      <c r="C65" s="8">
        <v>148</v>
      </c>
      <c r="D65" s="8">
        <v>19</v>
      </c>
      <c r="E65" s="8">
        <v>33</v>
      </c>
      <c r="G65" s="8">
        <v>185399</v>
      </c>
      <c r="H65" s="8">
        <v>38</v>
      </c>
      <c r="I65" s="8">
        <v>157</v>
      </c>
      <c r="J65" s="8">
        <v>22</v>
      </c>
      <c r="K65" s="8">
        <v>8</v>
      </c>
      <c r="M65" s="8">
        <v>185399</v>
      </c>
      <c r="N65" s="8">
        <v>43</v>
      </c>
      <c r="O65" s="8">
        <v>73</v>
      </c>
      <c r="P65" s="8">
        <v>27</v>
      </c>
      <c r="Q65" s="8">
        <v>9</v>
      </c>
      <c r="S65" s="9">
        <v>185399</v>
      </c>
      <c r="T65" s="8">
        <v>44</v>
      </c>
      <c r="U65" s="8">
        <v>112</v>
      </c>
      <c r="V65" s="8">
        <v>10</v>
      </c>
      <c r="W65" s="8">
        <v>5</v>
      </c>
    </row>
    <row r="66" spans="1:23">
      <c r="A66" s="8">
        <v>185775</v>
      </c>
      <c r="B66" s="8">
        <v>34</v>
      </c>
      <c r="C66" s="8">
        <f>3*60+59</f>
        <v>239</v>
      </c>
      <c r="D66" s="8">
        <f>8*60+1</f>
        <v>481</v>
      </c>
      <c r="E66" s="8">
        <f>4*60+26</f>
        <v>266</v>
      </c>
      <c r="G66" s="8">
        <v>185775</v>
      </c>
      <c r="H66" s="8">
        <v>35</v>
      </c>
      <c r="I66" s="8">
        <f>4*60+8</f>
        <v>248</v>
      </c>
      <c r="J66" s="8">
        <v>62</v>
      </c>
      <c r="K66" s="8">
        <v>19</v>
      </c>
      <c r="M66" s="8">
        <v>185775</v>
      </c>
      <c r="N66" s="8">
        <v>36</v>
      </c>
      <c r="O66" s="8">
        <f>4*60+5</f>
        <v>245</v>
      </c>
      <c r="P66" s="8">
        <v>5</v>
      </c>
      <c r="Q66" s="8">
        <v>9</v>
      </c>
      <c r="S66" s="9">
        <v>185775</v>
      </c>
      <c r="T66" s="8">
        <v>36</v>
      </c>
      <c r="U66" s="8">
        <v>157</v>
      </c>
      <c r="V66" s="8">
        <v>23</v>
      </c>
      <c r="W66" s="8">
        <v>15</v>
      </c>
    </row>
    <row r="68" spans="1:23">
      <c r="A68" s="14" t="s">
        <v>26</v>
      </c>
      <c r="B68" s="14"/>
    </row>
    <row r="69" spans="1:23">
      <c r="A69" s="14" t="s">
        <v>28</v>
      </c>
      <c r="B69" s="14"/>
      <c r="E69" s="14" t="s">
        <v>34</v>
      </c>
      <c r="L69" s="14" t="s">
        <v>35</v>
      </c>
    </row>
    <row r="70" spans="1:23">
      <c r="A70" s="14" t="s">
        <v>29</v>
      </c>
      <c r="B70" s="14"/>
    </row>
    <row r="71" spans="1:23">
      <c r="A71" s="14" t="s">
        <v>30</v>
      </c>
      <c r="B71" s="14"/>
    </row>
    <row r="72" spans="1:23">
      <c r="A72" s="14" t="s">
        <v>31</v>
      </c>
      <c r="B72" s="14"/>
    </row>
    <row r="73" spans="1:23">
      <c r="B73" s="14"/>
      <c r="C73" s="14"/>
    </row>
    <row r="74" spans="1:23">
      <c r="A74" s="14" t="s">
        <v>36</v>
      </c>
      <c r="C74" s="14"/>
    </row>
    <row r="76" spans="1:23">
      <c r="A76" s="14" t="s">
        <v>32</v>
      </c>
    </row>
    <row r="77" spans="1:23">
      <c r="A77" s="14" t="s">
        <v>33</v>
      </c>
    </row>
  </sheetData>
  <mergeCells count="36">
    <mergeCell ref="B45:E45"/>
    <mergeCell ref="H45:K45"/>
    <mergeCell ref="B20:E20"/>
    <mergeCell ref="H20:K20"/>
    <mergeCell ref="N1:Q1"/>
    <mergeCell ref="N12:Q12"/>
    <mergeCell ref="B1:E1"/>
    <mergeCell ref="B12:E12"/>
    <mergeCell ref="B28:E28"/>
    <mergeCell ref="B37:E37"/>
    <mergeCell ref="H1:K1"/>
    <mergeCell ref="H12:K12"/>
    <mergeCell ref="H28:K28"/>
    <mergeCell ref="H37:K37"/>
    <mergeCell ref="N28:Q28"/>
    <mergeCell ref="N37:Q37"/>
    <mergeCell ref="N45:Q45"/>
    <mergeCell ref="T1:W1"/>
    <mergeCell ref="T12:W12"/>
    <mergeCell ref="T28:W28"/>
    <mergeCell ref="T37:W37"/>
    <mergeCell ref="T45:W45"/>
    <mergeCell ref="N20:Q20"/>
    <mergeCell ref="T20:W20"/>
    <mergeCell ref="B62:E62"/>
    <mergeCell ref="H62:K62"/>
    <mergeCell ref="N62:Q62"/>
    <mergeCell ref="T62:W62"/>
    <mergeCell ref="B51:E51"/>
    <mergeCell ref="H51:K51"/>
    <mergeCell ref="N51:Q51"/>
    <mergeCell ref="T51:W51"/>
    <mergeCell ref="B57:E57"/>
    <mergeCell ref="H57:K57"/>
    <mergeCell ref="N57:Q57"/>
    <mergeCell ref="T57:W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95"/>
  <sheetViews>
    <sheetView tabSelected="1" zoomScale="75" zoomScaleNormal="75" zoomScalePageLayoutView="75" workbookViewId="0">
      <selection activeCell="A15" sqref="A15"/>
    </sheetView>
  </sheetViews>
  <sheetFormatPr baseColWidth="10" defaultColWidth="8.83203125" defaultRowHeight="15"/>
  <cols>
    <col min="1" max="8" width="8.83203125" style="4"/>
    <col min="9" max="9" width="10.5" style="4" bestFit="1" customWidth="1"/>
    <col min="10" max="11" width="8.83203125" style="4"/>
    <col min="12" max="12" width="8.83203125" style="5"/>
    <col min="13" max="13" width="11.1640625" style="4" bestFit="1" customWidth="1"/>
    <col min="14" max="14" width="11.1640625" style="4" customWidth="1"/>
    <col min="15" max="22" width="8.83203125" style="4"/>
    <col min="23" max="24" width="8.83203125" style="5"/>
    <col min="25" max="35" width="8.83203125" style="4"/>
    <col min="36" max="37" width="8.83203125" style="5"/>
    <col min="38" max="16384" width="8.83203125" style="4"/>
  </cols>
  <sheetData>
    <row r="1" spans="1:52">
      <c r="B1" s="16" t="s">
        <v>1</v>
      </c>
      <c r="C1" s="16"/>
      <c r="D1" s="16"/>
      <c r="E1" s="16"/>
      <c r="N1" s="16" t="s">
        <v>2</v>
      </c>
      <c r="O1" s="16"/>
      <c r="P1" s="16"/>
      <c r="Q1" s="16"/>
      <c r="AA1" s="16" t="s">
        <v>3</v>
      </c>
      <c r="AB1" s="16"/>
      <c r="AC1" s="16"/>
      <c r="AD1" s="16"/>
      <c r="AN1" s="16" t="s">
        <v>4</v>
      </c>
      <c r="AO1" s="16"/>
      <c r="AP1" s="16"/>
      <c r="AQ1" s="16"/>
    </row>
    <row r="2" spans="1:52">
      <c r="A2" s="11" t="s">
        <v>0</v>
      </c>
      <c r="B2" s="4" t="s">
        <v>10</v>
      </c>
      <c r="C2" s="4">
        <v>1</v>
      </c>
      <c r="D2" s="4">
        <v>2</v>
      </c>
      <c r="E2" s="4">
        <v>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M2" s="11" t="s">
        <v>0</v>
      </c>
      <c r="N2" s="4" t="s">
        <v>10</v>
      </c>
      <c r="O2" s="4">
        <v>1</v>
      </c>
      <c r="P2" s="4">
        <v>2</v>
      </c>
      <c r="Q2" s="4">
        <v>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5" t="s">
        <v>22</v>
      </c>
      <c r="X2" s="5" t="s">
        <v>23</v>
      </c>
      <c r="Z2" s="11" t="s">
        <v>0</v>
      </c>
      <c r="AA2" s="4" t="s">
        <v>10</v>
      </c>
      <c r="AB2" s="4">
        <v>1</v>
      </c>
      <c r="AC2" s="4">
        <v>2</v>
      </c>
      <c r="AD2" s="4">
        <v>3</v>
      </c>
      <c r="AE2" s="4" t="s">
        <v>14</v>
      </c>
      <c r="AF2" s="4" t="s">
        <v>15</v>
      </c>
      <c r="AG2" s="4" t="s">
        <v>16</v>
      </c>
      <c r="AH2" s="4" t="s">
        <v>17</v>
      </c>
      <c r="AI2" s="4" t="s">
        <v>18</v>
      </c>
      <c r="AJ2" s="5" t="s">
        <v>24</v>
      </c>
      <c r="AK2" s="5" t="s">
        <v>25</v>
      </c>
      <c r="AM2" s="11" t="s">
        <v>0</v>
      </c>
      <c r="AN2" s="4" t="s">
        <v>10</v>
      </c>
      <c r="AO2" s="4">
        <v>1</v>
      </c>
      <c r="AP2" s="4">
        <v>2</v>
      </c>
      <c r="AQ2" s="4">
        <v>3</v>
      </c>
      <c r="AR2" s="4" t="s">
        <v>14</v>
      </c>
      <c r="AS2" s="4" t="s">
        <v>15</v>
      </c>
      <c r="AT2" s="4" t="s">
        <v>16</v>
      </c>
      <c r="AU2" s="4" t="s">
        <v>17</v>
      </c>
      <c r="AV2" s="4" t="s">
        <v>18</v>
      </c>
      <c r="AX2" s="4" t="s">
        <v>20</v>
      </c>
      <c r="AZ2" s="4" t="s">
        <v>21</v>
      </c>
    </row>
    <row r="3" spans="1:52">
      <c r="A3" s="7">
        <v>176935</v>
      </c>
      <c r="B3" s="4">
        <v>32</v>
      </c>
      <c r="C3" s="12">
        <v>70</v>
      </c>
      <c r="D3" s="12">
        <v>55</v>
      </c>
      <c r="E3" s="12">
        <v>40</v>
      </c>
      <c r="F3" s="12">
        <f>AVERAGE(C3:E3)</f>
        <v>55</v>
      </c>
      <c r="G3" s="4">
        <f>STDEV(C3:E3)</f>
        <v>15</v>
      </c>
      <c r="H3" s="4">
        <f>G3/(SQRT(8))</f>
        <v>5.3033008588991057</v>
      </c>
      <c r="I3" s="4">
        <f>MAX(C3:E3)</f>
        <v>70</v>
      </c>
      <c r="J3" s="4">
        <f>F3*B3</f>
        <v>1760</v>
      </c>
      <c r="K3" s="4">
        <f>J3/J3*100</f>
        <v>100</v>
      </c>
      <c r="M3" s="7">
        <v>176935</v>
      </c>
      <c r="N3" s="4">
        <v>34</v>
      </c>
      <c r="O3" s="12">
        <v>32</v>
      </c>
      <c r="P3" s="12">
        <v>0</v>
      </c>
      <c r="Q3" s="12">
        <v>0</v>
      </c>
      <c r="R3" s="12">
        <f>AVERAGE(O3:Q3)</f>
        <v>10.666666666666666</v>
      </c>
      <c r="S3" s="4">
        <f>STDEV(O3:Q3)</f>
        <v>18.475208614068027</v>
      </c>
      <c r="T3" s="4">
        <f>S3/(SQRT(8))</f>
        <v>6.5319726474218083</v>
      </c>
      <c r="U3" s="4">
        <f>MAX(O3:Q3)</f>
        <v>32</v>
      </c>
      <c r="V3" s="4">
        <f>R3*N3</f>
        <v>362.66666666666663</v>
      </c>
      <c r="W3" s="5">
        <f t="shared" ref="W3:W10" si="0">V3/J3*100</f>
        <v>20.606060606060602</v>
      </c>
      <c r="X3" s="5">
        <f t="shared" ref="X3:X10" si="1">U3/I3*100</f>
        <v>45.714285714285715</v>
      </c>
      <c r="Z3" s="7">
        <v>176935</v>
      </c>
      <c r="AA3" s="4">
        <v>34</v>
      </c>
      <c r="AB3" s="12">
        <v>5</v>
      </c>
      <c r="AC3" s="12">
        <v>2</v>
      </c>
      <c r="AD3" s="12">
        <v>1</v>
      </c>
      <c r="AE3" s="12">
        <f>AVERAGE(AB3:AD3)</f>
        <v>2.6666666666666665</v>
      </c>
      <c r="AF3" s="4">
        <f>STDEV(AB3:AD3)</f>
        <v>2.0816659994661331</v>
      </c>
      <c r="AG3" s="4">
        <f>AF3/(SQRT(8))</f>
        <v>0.73598007219398731</v>
      </c>
      <c r="AH3" s="4">
        <f>MAX(AB3:AD3)</f>
        <v>5</v>
      </c>
      <c r="AI3" s="4">
        <f>AE3*AA3</f>
        <v>90.666666666666657</v>
      </c>
      <c r="AJ3" s="5">
        <f t="shared" ref="AJ3:AJ10" si="2">AI3/J3*100</f>
        <v>5.1515151515151505</v>
      </c>
      <c r="AK3" s="5">
        <f t="shared" ref="AK3:AK10" si="3">AH3/I3*100</f>
        <v>7.1428571428571423</v>
      </c>
      <c r="AM3" s="7">
        <v>176935</v>
      </c>
      <c r="AN3" s="4">
        <v>35</v>
      </c>
      <c r="AO3" s="7">
        <v>55</v>
      </c>
      <c r="AP3" s="7">
        <v>41</v>
      </c>
      <c r="AQ3" s="7">
        <v>25</v>
      </c>
      <c r="AR3" s="12">
        <f>AVERAGE(AO3:AQ3)</f>
        <v>40.333333333333336</v>
      </c>
      <c r="AS3" s="4">
        <f>STDEV(AO3:AQ3)</f>
        <v>15.011106998930275</v>
      </c>
      <c r="AT3" s="4">
        <f>AS3/(SQRT(8))</f>
        <v>5.3072277760302207</v>
      </c>
      <c r="AU3" s="4">
        <f>MAX(AO3:AQ3)</f>
        <v>55</v>
      </c>
      <c r="AV3" s="4">
        <f>AR3*AN3</f>
        <v>1411.6666666666667</v>
      </c>
      <c r="AX3" s="4">
        <f t="shared" ref="AX3:AX10" si="4">AV3/J3*100</f>
        <v>80.208333333333343</v>
      </c>
      <c r="AZ3" s="4">
        <f t="shared" ref="AZ3:AZ10" si="5">AU3/I3*100</f>
        <v>78.571428571428569</v>
      </c>
    </row>
    <row r="4" spans="1:52">
      <c r="A4" s="7">
        <v>176936</v>
      </c>
      <c r="B4" s="4">
        <v>26</v>
      </c>
      <c r="C4" s="12">
        <v>1723</v>
      </c>
      <c r="D4" s="12">
        <v>366</v>
      </c>
      <c r="E4" s="12">
        <v>305</v>
      </c>
      <c r="F4" s="12">
        <f t="shared" ref="F4:F10" si="6">AVERAGE(C4:E4)</f>
        <v>798</v>
      </c>
      <c r="G4" s="4">
        <f t="shared" ref="G4:G10" si="7">STDEV(C4:E4)</f>
        <v>801.65391535250421</v>
      </c>
      <c r="H4" s="4">
        <f t="shared" ref="H4:H10" si="8">G4/(SQRT(8))</f>
        <v>283.42745985525113</v>
      </c>
      <c r="I4" s="4">
        <f t="shared" ref="I4:I10" si="9">MAX(C4:E4)</f>
        <v>1723</v>
      </c>
      <c r="J4" s="4">
        <f t="shared" ref="J4:J11" si="10">F4*B4</f>
        <v>20748</v>
      </c>
      <c r="K4" s="5">
        <f t="shared" ref="K4:K63" si="11">J4/J4*100</f>
        <v>100</v>
      </c>
      <c r="M4" s="7">
        <v>176936</v>
      </c>
      <c r="N4" s="4">
        <v>28</v>
      </c>
      <c r="O4" s="12">
        <v>194</v>
      </c>
      <c r="P4" s="12">
        <v>24</v>
      </c>
      <c r="Q4" s="12">
        <v>37</v>
      </c>
      <c r="R4" s="12">
        <f t="shared" ref="R4:R10" si="12">AVERAGE(O4:Q4)</f>
        <v>85</v>
      </c>
      <c r="S4" s="4">
        <f t="shared" ref="S4:S10" si="13">STDEV(O4:Q4)</f>
        <v>94.62029380635002</v>
      </c>
      <c r="T4" s="4">
        <f t="shared" ref="T4:T10" si="14">S4/(SQRT(8))</f>
        <v>33.453325694166786</v>
      </c>
      <c r="U4" s="4">
        <f t="shared" ref="U4:U10" si="15">MAX(O4:Q4)</f>
        <v>194</v>
      </c>
      <c r="V4" s="4">
        <f t="shared" ref="V4:V11" si="16">R4*N4</f>
        <v>2380</v>
      </c>
      <c r="W4" s="5">
        <f t="shared" si="0"/>
        <v>11.470985155195681</v>
      </c>
      <c r="X4" s="5">
        <f t="shared" si="1"/>
        <v>11.259431224608242</v>
      </c>
      <c r="Z4" s="7">
        <v>176936</v>
      </c>
      <c r="AA4" s="4">
        <v>29</v>
      </c>
      <c r="AB4" s="12">
        <v>509</v>
      </c>
      <c r="AC4" s="12">
        <v>19</v>
      </c>
      <c r="AD4" s="12">
        <v>18</v>
      </c>
      <c r="AE4" s="12">
        <f t="shared" ref="AE4:AE10" si="17">AVERAGE(AB4:AD4)</f>
        <v>182</v>
      </c>
      <c r="AF4" s="4">
        <f t="shared" ref="AF4:AF10" si="18">STDEV(AB4:AD4)</f>
        <v>283.19074843645581</v>
      </c>
      <c r="AG4" s="4">
        <f t="shared" ref="AG4:AG10" si="19">AF4/(SQRT(8))</f>
        <v>100.12304929435578</v>
      </c>
      <c r="AH4" s="4">
        <f t="shared" ref="AH4:AH10" si="20">MAX(AB4:AD4)</f>
        <v>509</v>
      </c>
      <c r="AI4" s="4">
        <f t="shared" ref="AI4:AI11" si="21">AE4*AA4</f>
        <v>5278</v>
      </c>
      <c r="AJ4" s="5">
        <f t="shared" si="2"/>
        <v>25.438596491228072</v>
      </c>
      <c r="AK4" s="5">
        <f t="shared" si="3"/>
        <v>29.541497388276262</v>
      </c>
      <c r="AM4" s="7">
        <v>176936</v>
      </c>
      <c r="AN4" s="4">
        <v>36</v>
      </c>
      <c r="AO4" s="7">
        <v>87</v>
      </c>
      <c r="AP4" s="7">
        <v>31</v>
      </c>
      <c r="AQ4" s="7">
        <v>14</v>
      </c>
      <c r="AR4" s="12">
        <f t="shared" ref="AR4:AR10" si="22">AVERAGE(AO4:AQ4)</f>
        <v>44</v>
      </c>
      <c r="AS4" s="4">
        <f t="shared" ref="AS4:AS10" si="23">STDEV(AO4:AQ4)</f>
        <v>38.196858509568557</v>
      </c>
      <c r="AT4" s="4">
        <f t="shared" ref="AT4:AT10" si="24">AS4/(SQRT(8))</f>
        <v>13.504628836069504</v>
      </c>
      <c r="AU4" s="4">
        <f t="shared" ref="AU4:AU10" si="25">MAX(AO4:AQ4)</f>
        <v>87</v>
      </c>
      <c r="AV4" s="4">
        <f t="shared" ref="AV4:AV11" si="26">AR4*AN4</f>
        <v>1584</v>
      </c>
      <c r="AX4" s="5">
        <f t="shared" si="4"/>
        <v>7.6344707923655291</v>
      </c>
      <c r="AZ4" s="5">
        <f t="shared" si="5"/>
        <v>5.0493325594892626</v>
      </c>
    </row>
    <row r="5" spans="1:52">
      <c r="A5" s="7">
        <v>176937</v>
      </c>
      <c r="B5" s="4">
        <v>32</v>
      </c>
      <c r="C5" s="12">
        <v>84</v>
      </c>
      <c r="D5" s="12">
        <v>270</v>
      </c>
      <c r="E5" s="12">
        <v>106</v>
      </c>
      <c r="F5" s="12">
        <f t="shared" si="6"/>
        <v>153.33333333333334</v>
      </c>
      <c r="G5" s="4">
        <f t="shared" si="7"/>
        <v>101.6333278670601</v>
      </c>
      <c r="H5" s="4">
        <f t="shared" si="8"/>
        <v>35.93280766467695</v>
      </c>
      <c r="I5" s="4">
        <f t="shared" si="9"/>
        <v>270</v>
      </c>
      <c r="J5" s="4">
        <f t="shared" si="10"/>
        <v>4906.666666666667</v>
      </c>
      <c r="K5" s="5">
        <f t="shared" si="11"/>
        <v>100</v>
      </c>
      <c r="M5" s="7">
        <v>176937</v>
      </c>
      <c r="N5" s="4">
        <v>33</v>
      </c>
      <c r="O5" s="12">
        <v>153</v>
      </c>
      <c r="P5" s="12">
        <v>15</v>
      </c>
      <c r="Q5" s="12">
        <v>26</v>
      </c>
      <c r="R5" s="12">
        <f t="shared" si="12"/>
        <v>64.666666666666671</v>
      </c>
      <c r="S5" s="4">
        <f t="shared" si="13"/>
        <v>76.696371057132382</v>
      </c>
      <c r="T5" s="4">
        <f t="shared" si="14"/>
        <v>27.116262033448979</v>
      </c>
      <c r="U5" s="4">
        <f t="shared" si="15"/>
        <v>153</v>
      </c>
      <c r="V5" s="4">
        <f t="shared" si="16"/>
        <v>2134</v>
      </c>
      <c r="W5" s="5">
        <f t="shared" si="0"/>
        <v>43.491847826086953</v>
      </c>
      <c r="X5" s="5">
        <f t="shared" si="1"/>
        <v>56.666666666666664</v>
      </c>
      <c r="Z5" s="7">
        <v>176937</v>
      </c>
      <c r="AA5" s="4">
        <v>35</v>
      </c>
      <c r="AB5" s="12">
        <v>57</v>
      </c>
      <c r="AC5" s="12">
        <v>32</v>
      </c>
      <c r="AD5" s="12">
        <v>3</v>
      </c>
      <c r="AE5" s="12">
        <f t="shared" si="17"/>
        <v>30.666666666666668</v>
      </c>
      <c r="AF5" s="4">
        <f t="shared" si="18"/>
        <v>27.024680078279061</v>
      </c>
      <c r="AG5" s="4">
        <f t="shared" si="19"/>
        <v>9.5546672713740612</v>
      </c>
      <c r="AH5" s="4">
        <f t="shared" si="20"/>
        <v>57</v>
      </c>
      <c r="AI5" s="4">
        <f t="shared" si="21"/>
        <v>1073.3333333333335</v>
      </c>
      <c r="AJ5" s="5">
        <f t="shared" si="2"/>
        <v>21.875000000000004</v>
      </c>
      <c r="AK5" s="5">
        <f t="shared" si="3"/>
        <v>21.111111111111111</v>
      </c>
      <c r="AM5" s="7">
        <v>176937</v>
      </c>
      <c r="AN5" s="4">
        <v>35</v>
      </c>
      <c r="AO5" s="7">
        <v>192</v>
      </c>
      <c r="AP5" s="7">
        <v>67</v>
      </c>
      <c r="AQ5" s="7">
        <v>53</v>
      </c>
      <c r="AR5" s="12">
        <f t="shared" si="22"/>
        <v>104</v>
      </c>
      <c r="AS5" s="4">
        <f t="shared" si="23"/>
        <v>76.53103945458993</v>
      </c>
      <c r="AT5" s="4">
        <f t="shared" si="24"/>
        <v>27.057808484797878</v>
      </c>
      <c r="AU5" s="4">
        <f t="shared" si="25"/>
        <v>192</v>
      </c>
      <c r="AV5" s="4">
        <f t="shared" si="26"/>
        <v>3640</v>
      </c>
      <c r="AX5" s="5">
        <f t="shared" si="4"/>
        <v>74.184782608695642</v>
      </c>
      <c r="AZ5" s="5">
        <f t="shared" si="5"/>
        <v>71.111111111111114</v>
      </c>
    </row>
    <row r="6" spans="1:52">
      <c r="A6" s="7">
        <v>176938</v>
      </c>
      <c r="B6" s="4">
        <v>31</v>
      </c>
      <c r="C6" s="12">
        <v>63</v>
      </c>
      <c r="D6" s="12">
        <v>135</v>
      </c>
      <c r="E6" s="12">
        <v>41</v>
      </c>
      <c r="F6" s="12">
        <f t="shared" si="6"/>
        <v>79.666666666666671</v>
      </c>
      <c r="G6" s="4">
        <f t="shared" si="7"/>
        <v>49.166384179979453</v>
      </c>
      <c r="H6" s="4">
        <f t="shared" si="8"/>
        <v>17.382941830043229</v>
      </c>
      <c r="I6" s="4">
        <f t="shared" si="9"/>
        <v>135</v>
      </c>
      <c r="J6" s="4">
        <f t="shared" si="10"/>
        <v>2469.666666666667</v>
      </c>
      <c r="K6" s="5">
        <f t="shared" si="11"/>
        <v>100</v>
      </c>
      <c r="M6" s="7">
        <v>176938</v>
      </c>
      <c r="N6" s="4">
        <v>34</v>
      </c>
      <c r="O6" s="12">
        <v>44</v>
      </c>
      <c r="P6" s="12">
        <v>19</v>
      </c>
      <c r="Q6" s="12">
        <v>7</v>
      </c>
      <c r="R6" s="12">
        <f t="shared" si="12"/>
        <v>23.333333333333332</v>
      </c>
      <c r="S6" s="4">
        <f t="shared" si="13"/>
        <v>18.876793513023692</v>
      </c>
      <c r="T6" s="4">
        <f t="shared" si="14"/>
        <v>6.6739543500586418</v>
      </c>
      <c r="U6" s="4">
        <f t="shared" si="15"/>
        <v>44</v>
      </c>
      <c r="V6" s="4">
        <f t="shared" si="16"/>
        <v>793.33333333333326</v>
      </c>
      <c r="W6" s="5">
        <f t="shared" si="0"/>
        <v>32.123093534889989</v>
      </c>
      <c r="X6" s="5">
        <f t="shared" si="1"/>
        <v>32.592592592592595</v>
      </c>
      <c r="Z6" s="7">
        <v>176938</v>
      </c>
      <c r="AA6" s="4">
        <v>35</v>
      </c>
      <c r="AB6" s="12">
        <v>69</v>
      </c>
      <c r="AC6" s="12">
        <v>18</v>
      </c>
      <c r="AD6" s="12">
        <v>2</v>
      </c>
      <c r="AE6" s="12">
        <f t="shared" si="17"/>
        <v>29.666666666666668</v>
      </c>
      <c r="AF6" s="4">
        <f t="shared" si="18"/>
        <v>34.990474894367082</v>
      </c>
      <c r="AG6" s="4">
        <f t="shared" si="19"/>
        <v>12.371001037372304</v>
      </c>
      <c r="AH6" s="4">
        <f t="shared" si="20"/>
        <v>69</v>
      </c>
      <c r="AI6" s="4">
        <f t="shared" si="21"/>
        <v>1038.3333333333335</v>
      </c>
      <c r="AJ6" s="5">
        <f t="shared" si="2"/>
        <v>42.043460655958967</v>
      </c>
      <c r="AK6" s="5">
        <f t="shared" si="3"/>
        <v>51.111111111111107</v>
      </c>
      <c r="AM6" s="7">
        <v>176938</v>
      </c>
      <c r="AN6" s="4">
        <v>37</v>
      </c>
      <c r="AO6" s="7">
        <v>288</v>
      </c>
      <c r="AP6" s="7">
        <v>88</v>
      </c>
      <c r="AQ6" s="7">
        <v>34</v>
      </c>
      <c r="AR6" s="12">
        <f t="shared" si="22"/>
        <v>136.66666666666666</v>
      </c>
      <c r="AS6" s="4">
        <f t="shared" si="23"/>
        <v>133.81081172062792</v>
      </c>
      <c r="AT6" s="4">
        <f t="shared" si="24"/>
        <v>47.309266181866178</v>
      </c>
      <c r="AU6" s="4">
        <f t="shared" si="25"/>
        <v>288</v>
      </c>
      <c r="AV6" s="4">
        <f t="shared" si="26"/>
        <v>5056.6666666666661</v>
      </c>
      <c r="AX6" s="5">
        <f t="shared" si="4"/>
        <v>204.75097853961395</v>
      </c>
      <c r="AZ6" s="5">
        <f t="shared" si="5"/>
        <v>213.33333333333334</v>
      </c>
    </row>
    <row r="7" spans="1:52">
      <c r="A7" s="7">
        <v>176951</v>
      </c>
      <c r="B7" s="4">
        <v>33</v>
      </c>
      <c r="C7" s="12">
        <v>290</v>
      </c>
      <c r="D7" s="12">
        <v>58</v>
      </c>
      <c r="E7" s="12">
        <v>71</v>
      </c>
      <c r="F7" s="12">
        <f t="shared" si="6"/>
        <v>139.66666666666666</v>
      </c>
      <c r="G7" s="4">
        <f t="shared" si="7"/>
        <v>130.35464446399035</v>
      </c>
      <c r="H7" s="4">
        <f t="shared" si="8"/>
        <v>46.087326529824509</v>
      </c>
      <c r="I7" s="4">
        <f t="shared" si="9"/>
        <v>290</v>
      </c>
      <c r="J7" s="4">
        <f t="shared" si="10"/>
        <v>4609</v>
      </c>
      <c r="K7" s="5">
        <f t="shared" si="11"/>
        <v>100</v>
      </c>
      <c r="M7" s="7">
        <v>176951</v>
      </c>
      <c r="N7" s="4">
        <v>34</v>
      </c>
      <c r="O7" s="12">
        <v>68</v>
      </c>
      <c r="P7" s="12">
        <v>20</v>
      </c>
      <c r="Q7" s="12">
        <v>16</v>
      </c>
      <c r="R7" s="12">
        <f t="shared" si="12"/>
        <v>34.666666666666664</v>
      </c>
      <c r="S7" s="4">
        <f t="shared" si="13"/>
        <v>28.936712552280937</v>
      </c>
      <c r="T7" s="4">
        <f t="shared" si="14"/>
        <v>10.230672835481869</v>
      </c>
      <c r="U7" s="4">
        <f t="shared" si="15"/>
        <v>68</v>
      </c>
      <c r="V7" s="4">
        <f t="shared" si="16"/>
        <v>1178.6666666666665</v>
      </c>
      <c r="W7" s="5">
        <f t="shared" si="0"/>
        <v>25.573153974108624</v>
      </c>
      <c r="X7" s="5">
        <f t="shared" si="1"/>
        <v>23.448275862068964</v>
      </c>
      <c r="Z7" s="7">
        <v>176951</v>
      </c>
      <c r="AA7" s="4">
        <v>35</v>
      </c>
      <c r="AB7" s="12">
        <v>53</v>
      </c>
      <c r="AC7" s="12">
        <v>58</v>
      </c>
      <c r="AD7" s="12">
        <v>13</v>
      </c>
      <c r="AE7" s="12">
        <f t="shared" si="17"/>
        <v>41.333333333333336</v>
      </c>
      <c r="AF7" s="4">
        <f t="shared" si="18"/>
        <v>24.66441431158124</v>
      </c>
      <c r="AG7" s="4">
        <f t="shared" si="19"/>
        <v>8.720187306856813</v>
      </c>
      <c r="AH7" s="4">
        <f t="shared" si="20"/>
        <v>58</v>
      </c>
      <c r="AI7" s="4">
        <f t="shared" si="21"/>
        <v>1446.6666666666667</v>
      </c>
      <c r="AJ7" s="5">
        <f t="shared" si="2"/>
        <v>31.387864323425184</v>
      </c>
      <c r="AK7" s="5">
        <f t="shared" si="3"/>
        <v>20</v>
      </c>
      <c r="AM7" s="7">
        <v>176951</v>
      </c>
      <c r="AN7" s="4">
        <v>36</v>
      </c>
      <c r="AO7" s="7">
        <v>48</v>
      </c>
      <c r="AP7" s="7">
        <v>27</v>
      </c>
      <c r="AQ7" s="7">
        <v>2</v>
      </c>
      <c r="AR7" s="12">
        <f t="shared" si="22"/>
        <v>25.666666666666668</v>
      </c>
      <c r="AS7" s="4">
        <f t="shared" si="23"/>
        <v>23.028967265887832</v>
      </c>
      <c r="AT7" s="4">
        <f t="shared" si="24"/>
        <v>8.1419694587161562</v>
      </c>
      <c r="AU7" s="4">
        <f t="shared" si="25"/>
        <v>48</v>
      </c>
      <c r="AV7" s="4">
        <f t="shared" si="26"/>
        <v>924</v>
      </c>
      <c r="AX7" s="5">
        <f t="shared" si="4"/>
        <v>20.047732696897373</v>
      </c>
      <c r="AZ7" s="5">
        <f t="shared" si="5"/>
        <v>16.551724137931036</v>
      </c>
    </row>
    <row r="8" spans="1:52">
      <c r="A8" s="7">
        <v>176952</v>
      </c>
      <c r="B8" s="4">
        <v>36</v>
      </c>
      <c r="C8" s="12">
        <v>63</v>
      </c>
      <c r="D8" s="12">
        <v>165</v>
      </c>
      <c r="E8" s="12">
        <v>133</v>
      </c>
      <c r="F8" s="12">
        <f t="shared" si="6"/>
        <v>120.33333333333333</v>
      </c>
      <c r="G8" s="4">
        <f t="shared" si="7"/>
        <v>52.166400425305675</v>
      </c>
      <c r="H8" s="4">
        <f t="shared" si="8"/>
        <v>18.443607745413217</v>
      </c>
      <c r="I8" s="4">
        <f t="shared" si="9"/>
        <v>165</v>
      </c>
      <c r="J8" s="4">
        <f t="shared" si="10"/>
        <v>4332</v>
      </c>
      <c r="K8" s="5">
        <f t="shared" si="11"/>
        <v>100</v>
      </c>
      <c r="M8" s="7">
        <v>176952</v>
      </c>
      <c r="N8" s="4">
        <v>38</v>
      </c>
      <c r="O8" s="12">
        <v>241</v>
      </c>
      <c r="P8" s="12">
        <v>26</v>
      </c>
      <c r="Q8" s="12">
        <v>18</v>
      </c>
      <c r="R8" s="12">
        <f t="shared" si="12"/>
        <v>95</v>
      </c>
      <c r="S8" s="4">
        <f t="shared" si="13"/>
        <v>126.5029643921438</v>
      </c>
      <c r="T8" s="4">
        <f t="shared" si="14"/>
        <v>44.725551980942612</v>
      </c>
      <c r="U8" s="4">
        <f t="shared" si="15"/>
        <v>241</v>
      </c>
      <c r="V8" s="4">
        <f t="shared" si="16"/>
        <v>3610</v>
      </c>
      <c r="W8" s="5">
        <f t="shared" si="0"/>
        <v>83.333333333333343</v>
      </c>
      <c r="X8" s="5">
        <f t="shared" si="1"/>
        <v>146.06060606060606</v>
      </c>
      <c r="Z8" s="7">
        <v>176952</v>
      </c>
      <c r="AA8" s="4">
        <v>40</v>
      </c>
      <c r="AB8" s="12">
        <v>309</v>
      </c>
      <c r="AC8" s="12">
        <v>15</v>
      </c>
      <c r="AD8" s="12">
        <v>18</v>
      </c>
      <c r="AE8" s="12">
        <f t="shared" si="17"/>
        <v>114</v>
      </c>
      <c r="AF8" s="4">
        <f t="shared" si="18"/>
        <v>168.88161534045085</v>
      </c>
      <c r="AG8" s="4">
        <f t="shared" si="19"/>
        <v>59.708667712485429</v>
      </c>
      <c r="AH8" s="4">
        <f t="shared" si="20"/>
        <v>309</v>
      </c>
      <c r="AI8" s="4">
        <f t="shared" si="21"/>
        <v>4560</v>
      </c>
      <c r="AJ8" s="5">
        <f t="shared" si="2"/>
        <v>105.26315789473684</v>
      </c>
      <c r="AK8" s="5">
        <f t="shared" si="3"/>
        <v>187.27272727272728</v>
      </c>
      <c r="AM8" s="7">
        <v>176952</v>
      </c>
      <c r="AN8" s="4">
        <v>40</v>
      </c>
      <c r="AO8" s="7">
        <v>272</v>
      </c>
      <c r="AP8" s="7">
        <v>41</v>
      </c>
      <c r="AQ8" s="7">
        <v>35</v>
      </c>
      <c r="AR8" s="12">
        <f t="shared" si="22"/>
        <v>116</v>
      </c>
      <c r="AS8" s="4">
        <f t="shared" si="23"/>
        <v>135.1332675546625</v>
      </c>
      <c r="AT8" s="4">
        <f t="shared" si="24"/>
        <v>47.776824925898957</v>
      </c>
      <c r="AU8" s="4">
        <f t="shared" si="25"/>
        <v>272</v>
      </c>
      <c r="AV8" s="4">
        <f t="shared" si="26"/>
        <v>4640</v>
      </c>
      <c r="AX8" s="5">
        <f t="shared" si="4"/>
        <v>107.10987996306555</v>
      </c>
      <c r="AZ8" s="5">
        <f t="shared" si="5"/>
        <v>164.84848484848484</v>
      </c>
    </row>
    <row r="9" spans="1:52">
      <c r="A9" s="7">
        <v>176953</v>
      </c>
      <c r="B9" s="4">
        <v>30</v>
      </c>
      <c r="C9" s="12">
        <v>463</v>
      </c>
      <c r="D9" s="12">
        <v>113</v>
      </c>
      <c r="E9" s="12">
        <v>168</v>
      </c>
      <c r="F9" s="12">
        <f t="shared" si="6"/>
        <v>248</v>
      </c>
      <c r="G9" s="4">
        <f t="shared" si="7"/>
        <v>188.21530224718711</v>
      </c>
      <c r="H9" s="4">
        <f t="shared" si="8"/>
        <v>66.544158271030824</v>
      </c>
      <c r="I9" s="4">
        <f t="shared" si="9"/>
        <v>463</v>
      </c>
      <c r="J9" s="4">
        <f t="shared" si="10"/>
        <v>7440</v>
      </c>
      <c r="K9" s="5">
        <f t="shared" si="11"/>
        <v>100</v>
      </c>
      <c r="M9" s="7">
        <v>176953</v>
      </c>
      <c r="N9" s="4">
        <v>32</v>
      </c>
      <c r="O9" s="12">
        <v>778</v>
      </c>
      <c r="P9" s="12">
        <v>181</v>
      </c>
      <c r="Q9" s="12">
        <v>48</v>
      </c>
      <c r="R9" s="12">
        <f t="shared" si="12"/>
        <v>335.66666666666669</v>
      </c>
      <c r="S9" s="4">
        <f t="shared" si="13"/>
        <v>388.80114883232193</v>
      </c>
      <c r="T9" s="4">
        <f t="shared" si="14"/>
        <v>137.46196443622748</v>
      </c>
      <c r="U9" s="4">
        <f t="shared" si="15"/>
        <v>778</v>
      </c>
      <c r="V9" s="4">
        <f t="shared" si="16"/>
        <v>10741.333333333334</v>
      </c>
      <c r="W9" s="5">
        <f t="shared" si="0"/>
        <v>144.37275985663084</v>
      </c>
      <c r="X9" s="5">
        <f t="shared" si="1"/>
        <v>168.03455723542115</v>
      </c>
      <c r="Z9" s="7">
        <v>176953</v>
      </c>
      <c r="AA9" s="4">
        <v>33</v>
      </c>
      <c r="AB9" s="12">
        <v>200</v>
      </c>
      <c r="AC9" s="12">
        <v>126</v>
      </c>
      <c r="AD9" s="12">
        <v>16</v>
      </c>
      <c r="AE9" s="12">
        <f t="shared" si="17"/>
        <v>114</v>
      </c>
      <c r="AF9" s="4">
        <f t="shared" si="18"/>
        <v>92.58509599282165</v>
      </c>
      <c r="AG9" s="4">
        <f t="shared" si="19"/>
        <v>32.733774606665818</v>
      </c>
      <c r="AH9" s="4">
        <f t="shared" si="20"/>
        <v>200</v>
      </c>
      <c r="AI9" s="4">
        <f t="shared" si="21"/>
        <v>3762</v>
      </c>
      <c r="AJ9" s="5">
        <f t="shared" si="2"/>
        <v>50.564516129032256</v>
      </c>
      <c r="AK9" s="5">
        <f t="shared" si="3"/>
        <v>43.196544276457885</v>
      </c>
      <c r="AM9" s="7">
        <v>176953</v>
      </c>
      <c r="AN9" s="4">
        <v>35</v>
      </c>
      <c r="AO9" s="7">
        <v>50</v>
      </c>
      <c r="AP9" s="7">
        <v>10</v>
      </c>
      <c r="AQ9" s="7">
        <v>3</v>
      </c>
      <c r="AR9" s="12">
        <f t="shared" si="22"/>
        <v>21</v>
      </c>
      <c r="AS9" s="4">
        <f t="shared" si="23"/>
        <v>25.357444666211933</v>
      </c>
      <c r="AT9" s="4">
        <f t="shared" si="24"/>
        <v>8.9652105385205534</v>
      </c>
      <c r="AU9" s="4">
        <f t="shared" si="25"/>
        <v>50</v>
      </c>
      <c r="AV9" s="4">
        <f t="shared" si="26"/>
        <v>735</v>
      </c>
      <c r="AX9" s="5">
        <f t="shared" si="4"/>
        <v>9.879032258064516</v>
      </c>
      <c r="AZ9" s="5">
        <f t="shared" si="5"/>
        <v>10.799136069114471</v>
      </c>
    </row>
    <row r="10" spans="1:52">
      <c r="A10" s="7">
        <v>176954</v>
      </c>
      <c r="B10" s="4">
        <v>29</v>
      </c>
      <c r="C10" s="12">
        <v>534</v>
      </c>
      <c r="D10" s="12">
        <v>38</v>
      </c>
      <c r="E10" s="12">
        <v>40</v>
      </c>
      <c r="F10" s="12">
        <f t="shared" si="6"/>
        <v>204</v>
      </c>
      <c r="G10" s="4">
        <f t="shared" si="7"/>
        <v>285.79013278977988</v>
      </c>
      <c r="H10" s="4">
        <f t="shared" si="8"/>
        <v>101.04207044592862</v>
      </c>
      <c r="I10" s="4">
        <f t="shared" si="9"/>
        <v>534</v>
      </c>
      <c r="J10" s="4">
        <f t="shared" si="10"/>
        <v>5916</v>
      </c>
      <c r="K10" s="5">
        <f t="shared" si="11"/>
        <v>100</v>
      </c>
      <c r="M10" s="7">
        <v>176954</v>
      </c>
      <c r="N10" s="4">
        <v>30</v>
      </c>
      <c r="O10" s="12">
        <v>89</v>
      </c>
      <c r="P10" s="12">
        <v>15</v>
      </c>
      <c r="Q10" s="12">
        <v>13</v>
      </c>
      <c r="R10" s="12">
        <f t="shared" si="12"/>
        <v>39</v>
      </c>
      <c r="S10" s="4">
        <f t="shared" si="13"/>
        <v>43.312815655415427</v>
      </c>
      <c r="T10" s="4">
        <f t="shared" si="14"/>
        <v>15.313392831113552</v>
      </c>
      <c r="U10" s="4">
        <f t="shared" si="15"/>
        <v>89</v>
      </c>
      <c r="V10" s="4">
        <f t="shared" si="16"/>
        <v>1170</v>
      </c>
      <c r="W10" s="5">
        <f t="shared" si="0"/>
        <v>19.776876267748477</v>
      </c>
      <c r="X10" s="5">
        <f t="shared" si="1"/>
        <v>16.666666666666664</v>
      </c>
      <c r="Z10" s="7">
        <v>176954</v>
      </c>
      <c r="AA10" s="4">
        <v>32</v>
      </c>
      <c r="AB10" s="12">
        <v>206</v>
      </c>
      <c r="AC10" s="12">
        <v>14</v>
      </c>
      <c r="AD10" s="12">
        <v>19</v>
      </c>
      <c r="AE10" s="12">
        <f t="shared" si="17"/>
        <v>79.666666666666671</v>
      </c>
      <c r="AF10" s="4">
        <f t="shared" si="18"/>
        <v>109.43643512712453</v>
      </c>
      <c r="AG10" s="4">
        <f t="shared" si="19"/>
        <v>38.691622693635722</v>
      </c>
      <c r="AH10" s="4">
        <f t="shared" si="20"/>
        <v>206</v>
      </c>
      <c r="AI10" s="4">
        <f t="shared" si="21"/>
        <v>2549.3333333333335</v>
      </c>
      <c r="AJ10" s="5">
        <f t="shared" si="2"/>
        <v>43.092179400495837</v>
      </c>
      <c r="AK10" s="5">
        <f t="shared" si="3"/>
        <v>38.576779026217231</v>
      </c>
      <c r="AM10" s="7">
        <v>176954</v>
      </c>
      <c r="AN10" s="4">
        <v>32</v>
      </c>
      <c r="AO10" s="7">
        <v>55</v>
      </c>
      <c r="AP10" s="7">
        <v>33</v>
      </c>
      <c r="AQ10" s="7">
        <v>12</v>
      </c>
      <c r="AR10" s="12">
        <f t="shared" si="22"/>
        <v>33.333333333333336</v>
      </c>
      <c r="AS10" s="4">
        <f t="shared" si="23"/>
        <v>21.501937897160182</v>
      </c>
      <c r="AT10" s="4">
        <f t="shared" si="24"/>
        <v>7.602083047866989</v>
      </c>
      <c r="AU10" s="4">
        <f t="shared" si="25"/>
        <v>55</v>
      </c>
      <c r="AV10" s="4">
        <f t="shared" si="26"/>
        <v>1066.6666666666667</v>
      </c>
      <c r="AX10" s="5">
        <f t="shared" si="4"/>
        <v>18.030200585981522</v>
      </c>
      <c r="AZ10" s="5">
        <f t="shared" si="5"/>
        <v>10.299625468164795</v>
      </c>
    </row>
    <row r="11" spans="1:52">
      <c r="A11" s="4" t="s">
        <v>14</v>
      </c>
      <c r="B11" s="13">
        <f>AVERAGE(B3:B10)</f>
        <v>31.125</v>
      </c>
      <c r="C11" s="12"/>
      <c r="D11" s="12"/>
      <c r="F11" s="13">
        <f>AVERAGE(F3:F10)</f>
        <v>224.75</v>
      </c>
      <c r="J11" s="4">
        <f t="shared" si="10"/>
        <v>6995.34375</v>
      </c>
      <c r="K11" s="5"/>
      <c r="M11" s="4" t="s">
        <v>14</v>
      </c>
      <c r="N11" s="13">
        <f>AVERAGE(N3:N10)</f>
        <v>32.875</v>
      </c>
      <c r="O11" s="12"/>
      <c r="P11" s="12"/>
      <c r="R11" s="4">
        <f>AVERAGE(R3:R10)</f>
        <v>86</v>
      </c>
      <c r="V11" s="4">
        <f t="shared" si="16"/>
        <v>2827.25</v>
      </c>
      <c r="W11" s="5">
        <f>AVERAGE(W3:W10)</f>
        <v>47.59351381925682</v>
      </c>
      <c r="X11" s="5">
        <f>AVERAGE(X3:X10)</f>
        <v>62.555385252864504</v>
      </c>
      <c r="Z11" s="4" t="s">
        <v>14</v>
      </c>
      <c r="AA11" s="13">
        <f>AVERAGE(AA3:AA10)</f>
        <v>34.125</v>
      </c>
      <c r="AB11" s="12"/>
      <c r="AC11" s="12"/>
      <c r="AE11" s="13">
        <f>AVERAGE(AE3:AE10)</f>
        <v>74.249999999999986</v>
      </c>
      <c r="AI11" s="4">
        <f t="shared" si="21"/>
        <v>2533.7812499999995</v>
      </c>
      <c r="AJ11" s="5">
        <f>AVERAGE(AJ3:AJ10)</f>
        <v>40.602036255799035</v>
      </c>
      <c r="AK11" s="5">
        <f>AVERAGE(AK3:AK10)</f>
        <v>49.744078416094759</v>
      </c>
      <c r="AM11" s="4" t="s">
        <v>14</v>
      </c>
      <c r="AN11" s="13">
        <f>AVERAGE(AN3:AN10)</f>
        <v>35.75</v>
      </c>
      <c r="AO11" s="7"/>
      <c r="AP11" s="7"/>
      <c r="AR11" s="4">
        <f>AVERAGE(AR3:AR10)</f>
        <v>65.125</v>
      </c>
      <c r="AV11" s="4">
        <f t="shared" si="26"/>
        <v>2328.21875</v>
      </c>
      <c r="AX11" s="5">
        <f>AVERAGE(AX3:AX10)</f>
        <v>65.230676347252171</v>
      </c>
      <c r="AZ11" s="5">
        <f>AVERAGE(AZ3:AZ10)</f>
        <v>71.320522012382185</v>
      </c>
    </row>
    <row r="12" spans="1:52">
      <c r="A12" s="7"/>
      <c r="C12" s="12"/>
      <c r="D12" s="12"/>
      <c r="J12" s="4">
        <f>STDEV(J3:J10)</f>
        <v>6020.8216414452299</v>
      </c>
      <c r="K12" s="5"/>
      <c r="M12" s="7"/>
      <c r="O12" s="12"/>
      <c r="P12" s="12"/>
      <c r="V12" s="13"/>
      <c r="W12" s="5">
        <f>STDEV(W3:W10)</f>
        <v>45.026239985397055</v>
      </c>
      <c r="X12" s="5">
        <f>STDEV(X3:X10)</f>
        <v>60.452415296885157</v>
      </c>
      <c r="Z12" s="7"/>
      <c r="AB12" s="12"/>
      <c r="AC12" s="12"/>
      <c r="AI12" s="13"/>
      <c r="AJ12" s="5">
        <f>STDEV(AJ3:AJ10)</f>
        <v>29.787011496856316</v>
      </c>
      <c r="AK12" s="5">
        <f>STDEV(AK3:AK10)</f>
        <v>57.335033126553647</v>
      </c>
      <c r="AM12" s="7"/>
      <c r="AO12" s="7"/>
      <c r="AP12" s="7"/>
      <c r="AV12" s="13"/>
      <c r="AX12" s="5">
        <f>STDEV(AX3:AX10)</f>
        <v>67.796754403748068</v>
      </c>
      <c r="AZ12" s="5">
        <f>STDEV(AZ3:AZ10)</f>
        <v>79.052981920872725</v>
      </c>
    </row>
    <row r="13" spans="1:52">
      <c r="J13" s="4">
        <f>J12/2.82</f>
        <v>2135.0431352642659</v>
      </c>
      <c r="K13" s="5"/>
      <c r="W13" s="5">
        <f>W12/2.83</f>
        <v>15.910332150316981</v>
      </c>
      <c r="X13" s="5">
        <f>X12/2.83</f>
        <v>21.361277490065426</v>
      </c>
      <c r="AJ13" s="5">
        <f>AJ12/2.82</f>
        <v>10.562770034346212</v>
      </c>
      <c r="AK13" s="5">
        <f>AK12/2.82</f>
        <v>20.331572030692783</v>
      </c>
      <c r="AX13" s="5">
        <f>AX12/2.82</f>
        <v>24.041402270832648</v>
      </c>
      <c r="AZ13" s="5">
        <f>AZ12/2.82</f>
        <v>28.032972312366216</v>
      </c>
    </row>
    <row r="14" spans="1:52">
      <c r="B14" s="16" t="s">
        <v>1</v>
      </c>
      <c r="C14" s="16"/>
      <c r="D14" s="16"/>
      <c r="E14" s="16"/>
      <c r="K14" s="5"/>
      <c r="N14" s="16" t="s">
        <v>2</v>
      </c>
      <c r="O14" s="16"/>
      <c r="P14" s="16"/>
      <c r="Q14" s="16"/>
      <c r="AA14" s="16" t="s">
        <v>3</v>
      </c>
      <c r="AB14" s="16"/>
      <c r="AC14" s="16"/>
      <c r="AD14" s="16"/>
      <c r="AN14" s="16" t="s">
        <v>4</v>
      </c>
      <c r="AO14" s="16"/>
      <c r="AP14" s="16"/>
      <c r="AQ14" s="16"/>
      <c r="AX14" s="5"/>
      <c r="AZ14" s="5"/>
    </row>
    <row r="15" spans="1:52">
      <c r="A15" s="4" t="s">
        <v>5</v>
      </c>
      <c r="B15" s="4" t="s">
        <v>10</v>
      </c>
      <c r="C15" s="4">
        <v>1</v>
      </c>
      <c r="D15" s="4">
        <v>2</v>
      </c>
      <c r="E15" s="4">
        <v>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5"/>
      <c r="M15" s="4" t="s">
        <v>5</v>
      </c>
      <c r="N15" s="4" t="s">
        <v>10</v>
      </c>
      <c r="O15" s="4">
        <v>1</v>
      </c>
      <c r="P15" s="4">
        <v>2</v>
      </c>
      <c r="Q15" s="4">
        <v>3</v>
      </c>
      <c r="R15" s="4" t="s">
        <v>14</v>
      </c>
      <c r="S15" s="4" t="s">
        <v>15</v>
      </c>
      <c r="T15" s="4" t="s">
        <v>16</v>
      </c>
      <c r="U15" s="4" t="s">
        <v>17</v>
      </c>
      <c r="V15" s="4" t="s">
        <v>18</v>
      </c>
      <c r="Z15" s="4" t="s">
        <v>5</v>
      </c>
      <c r="AA15" s="4" t="s">
        <v>10</v>
      </c>
      <c r="AB15" s="4">
        <v>1</v>
      </c>
      <c r="AC15" s="4">
        <v>2</v>
      </c>
      <c r="AD15" s="4">
        <v>3</v>
      </c>
      <c r="AE15" s="4" t="s">
        <v>14</v>
      </c>
      <c r="AF15" s="4" t="s">
        <v>15</v>
      </c>
      <c r="AG15" s="4" t="s">
        <v>16</v>
      </c>
      <c r="AH15" s="4" t="s">
        <v>17</v>
      </c>
      <c r="AI15" s="4" t="s">
        <v>18</v>
      </c>
      <c r="AM15" s="4" t="s">
        <v>5</v>
      </c>
      <c r="AN15" s="4" t="s">
        <v>10</v>
      </c>
      <c r="AO15" s="4">
        <v>1</v>
      </c>
      <c r="AP15" s="4">
        <v>2</v>
      </c>
      <c r="AQ15" s="4">
        <v>3</v>
      </c>
      <c r="AR15" s="4" t="s">
        <v>14</v>
      </c>
      <c r="AS15" s="4" t="s">
        <v>15</v>
      </c>
      <c r="AT15" s="4" t="s">
        <v>16</v>
      </c>
      <c r="AU15" s="4" t="s">
        <v>17</v>
      </c>
      <c r="AV15" s="4" t="s">
        <v>18</v>
      </c>
      <c r="AX15" s="5"/>
      <c r="AZ15" s="5"/>
    </row>
    <row r="16" spans="1:52">
      <c r="A16" s="7">
        <v>175156</v>
      </c>
      <c r="B16" s="4">
        <v>36</v>
      </c>
      <c r="C16" s="12">
        <v>31</v>
      </c>
      <c r="D16" s="12">
        <v>34</v>
      </c>
      <c r="E16" s="12">
        <v>15</v>
      </c>
      <c r="F16" s="12">
        <f>AVERAGE(C16:E16)</f>
        <v>26.666666666666668</v>
      </c>
      <c r="G16" s="4">
        <f>STDEV(C16:E16)</f>
        <v>10.214368964029704</v>
      </c>
      <c r="H16" s="4">
        <f>G16/(SQRT(5))</f>
        <v>4.5680046701669044</v>
      </c>
      <c r="I16" s="4">
        <f>MAX(C16:E16)</f>
        <v>34</v>
      </c>
      <c r="J16" s="4">
        <f>F16*B16</f>
        <v>960</v>
      </c>
      <c r="K16" s="5">
        <f t="shared" si="11"/>
        <v>100</v>
      </c>
      <c r="M16" s="7">
        <v>175156</v>
      </c>
      <c r="N16" s="4">
        <v>38</v>
      </c>
      <c r="O16" s="12">
        <v>35</v>
      </c>
      <c r="P16" s="12">
        <v>23</v>
      </c>
      <c r="Q16" s="12">
        <v>10</v>
      </c>
      <c r="S16" s="4">
        <f>STDEV(O16:Q16)</f>
        <v>12.503332889007369</v>
      </c>
      <c r="T16" s="4">
        <f>S16/(SQRT(5))</f>
        <v>5.5916604570258617</v>
      </c>
      <c r="U16" s="4">
        <f>MAX(O16:Q16)</f>
        <v>35</v>
      </c>
      <c r="V16" s="4">
        <f>R17*N16</f>
        <v>861.33333333333337</v>
      </c>
      <c r="W16" s="5">
        <f>V16/J16*100</f>
        <v>89.722222222222229</v>
      </c>
      <c r="X16" s="5">
        <f>U16/I16*100</f>
        <v>102.94117647058823</v>
      </c>
      <c r="Z16" s="7">
        <v>175156</v>
      </c>
      <c r="AA16" s="4">
        <v>39</v>
      </c>
      <c r="AB16" s="4">
        <v>145</v>
      </c>
      <c r="AC16" s="4">
        <v>117</v>
      </c>
      <c r="AD16" s="4">
        <v>48</v>
      </c>
      <c r="AE16" s="12">
        <f>AVERAGE(AB16:AD16)</f>
        <v>103.33333333333333</v>
      </c>
      <c r="AF16" s="4">
        <f>STDEV(AB16:AD16)</f>
        <v>49.923274465256526</v>
      </c>
      <c r="AG16" s="4">
        <f>AF16/(SQRT(5))</f>
        <v>22.326367072738609</v>
      </c>
      <c r="AH16" s="4">
        <f>MAX(AB16:AD16)</f>
        <v>145</v>
      </c>
      <c r="AI16" s="4">
        <f>AE16*AA16</f>
        <v>4030</v>
      </c>
      <c r="AJ16" s="5">
        <f>AI16/J16*100</f>
        <v>419.79166666666669</v>
      </c>
      <c r="AK16" s="5">
        <f>AH16/I16*100</f>
        <v>426.47058823529409</v>
      </c>
      <c r="AM16" s="7">
        <v>175156</v>
      </c>
      <c r="AN16" s="4">
        <v>40</v>
      </c>
      <c r="AO16" s="4">
        <v>61</v>
      </c>
      <c r="AP16" s="4">
        <v>4</v>
      </c>
      <c r="AQ16" s="4">
        <v>10</v>
      </c>
      <c r="AR16" s="12">
        <f>AVERAGE(AO16:AQ16)</f>
        <v>25</v>
      </c>
      <c r="AS16" s="4">
        <f>STDEV(AO16:AQ16)</f>
        <v>31.32091952673165</v>
      </c>
      <c r="AT16" s="4">
        <f>AS16/(SQRT(5))</f>
        <v>14.007141035914502</v>
      </c>
      <c r="AU16" s="4">
        <f>MAX(AO16:AQ16)</f>
        <v>61</v>
      </c>
      <c r="AV16" s="4">
        <f>AR16*AN16</f>
        <v>1000</v>
      </c>
      <c r="AX16" s="5">
        <f>AV16/J16*100</f>
        <v>104.16666666666667</v>
      </c>
      <c r="AZ16" s="5">
        <f>AU16/I16*100</f>
        <v>179.41176470588235</v>
      </c>
    </row>
    <row r="17" spans="1:52">
      <c r="A17" s="7">
        <v>175160</v>
      </c>
      <c r="B17" s="4">
        <v>37</v>
      </c>
      <c r="C17" s="12">
        <v>48</v>
      </c>
      <c r="D17" s="12">
        <v>48</v>
      </c>
      <c r="E17" s="12">
        <v>5</v>
      </c>
      <c r="F17" s="12">
        <f t="shared" ref="F17:F20" si="27">AVERAGE(C17:E17)</f>
        <v>33.666666666666664</v>
      </c>
      <c r="G17" s="4">
        <f t="shared" ref="G17:G20" si="28">STDEV(C17:E17)</f>
        <v>24.826061575153908</v>
      </c>
      <c r="H17" s="4">
        <f t="shared" ref="H17:H20" si="29">G17/(SQRT(5))</f>
        <v>11.102552259127927</v>
      </c>
      <c r="I17" s="4">
        <f t="shared" ref="I17:I20" si="30">MAX(C17:E17)</f>
        <v>48</v>
      </c>
      <c r="J17" s="4">
        <f t="shared" ref="J17:J20" si="31">F17*B17</f>
        <v>1245.6666666666665</v>
      </c>
      <c r="K17" s="5">
        <f t="shared" si="11"/>
        <v>100</v>
      </c>
      <c r="M17" s="7">
        <v>175160</v>
      </c>
      <c r="N17" s="4">
        <v>38</v>
      </c>
      <c r="O17" s="12">
        <v>2</v>
      </c>
      <c r="P17" s="12">
        <v>0</v>
      </c>
      <c r="Q17" s="12">
        <v>0</v>
      </c>
      <c r="R17" s="12">
        <f>AVERAGE(O16:Q16)</f>
        <v>22.666666666666668</v>
      </c>
      <c r="S17" s="4">
        <f t="shared" ref="S17:S20" si="32">STDEV(O17:Q17)</f>
        <v>1.1547005383792517</v>
      </c>
      <c r="T17" s="4">
        <f t="shared" ref="T17:T20" si="33">S17/(SQRT(5))</f>
        <v>0.51639777949432231</v>
      </c>
      <c r="Z17" s="7">
        <v>175160</v>
      </c>
      <c r="AA17" s="4">
        <v>38</v>
      </c>
      <c r="AB17" s="4">
        <v>49</v>
      </c>
      <c r="AC17" s="4">
        <v>16</v>
      </c>
      <c r="AD17" s="4">
        <v>20</v>
      </c>
      <c r="AE17" s="12">
        <f t="shared" ref="AE17:AE20" si="34">AVERAGE(AB17:AD17)</f>
        <v>28.333333333333332</v>
      </c>
      <c r="AF17" s="4">
        <f t="shared" ref="AF17:AF20" si="35">STDEV(AB17:AD17)</f>
        <v>18.009256878986797</v>
      </c>
      <c r="AG17" s="4">
        <f t="shared" ref="AG17:AG20" si="36">AF17/(SQRT(5))</f>
        <v>8.0539845211340353</v>
      </c>
      <c r="AH17" s="4">
        <f t="shared" ref="AH17:AH20" si="37">MAX(AB17:AD17)</f>
        <v>49</v>
      </c>
      <c r="AI17" s="4">
        <f t="shared" ref="AI17:AI24" si="38">AE17*AA17</f>
        <v>1076.6666666666665</v>
      </c>
      <c r="AJ17" s="5">
        <f>AI17/J17*100</f>
        <v>86.432967621086433</v>
      </c>
      <c r="AK17" s="5">
        <f>AH17/I17*100</f>
        <v>102.08333333333333</v>
      </c>
      <c r="AM17" s="7">
        <v>175160</v>
      </c>
      <c r="AN17" s="4">
        <v>39</v>
      </c>
      <c r="AO17" s="4">
        <v>28</v>
      </c>
      <c r="AP17" s="4">
        <v>12</v>
      </c>
      <c r="AQ17" s="4">
        <v>7</v>
      </c>
      <c r="AR17" s="12">
        <f t="shared" ref="AR17:AR23" si="39">AVERAGE(AO17:AQ17)</f>
        <v>15.666666666666666</v>
      </c>
      <c r="AS17" s="4">
        <f t="shared" ref="AS17:AS23" si="40">STDEV(AO17:AQ17)</f>
        <v>10.969655114602888</v>
      </c>
      <c r="AT17" s="4">
        <f t="shared" ref="AT17:AT20" si="41">AS17/(SQRT(5))</f>
        <v>4.905778905196061</v>
      </c>
      <c r="AU17" s="4">
        <f t="shared" ref="AU17:AU20" si="42">MAX(AO17:AQ17)</f>
        <v>28</v>
      </c>
      <c r="AV17" s="4">
        <f t="shared" ref="AV17:AV24" si="43">AR17*AN17</f>
        <v>611</v>
      </c>
      <c r="AX17" s="5">
        <f>AV17/J17*100</f>
        <v>49.050040139149054</v>
      </c>
      <c r="AZ17" s="5">
        <f>AU17/I17*100</f>
        <v>58.333333333333336</v>
      </c>
    </row>
    <row r="18" spans="1:52">
      <c r="A18" s="7">
        <v>176961</v>
      </c>
      <c r="B18" s="4">
        <v>33</v>
      </c>
      <c r="C18" s="12">
        <v>3</v>
      </c>
      <c r="D18" s="12">
        <v>14</v>
      </c>
      <c r="E18" s="12">
        <v>7</v>
      </c>
      <c r="F18" s="12">
        <f t="shared" si="27"/>
        <v>8</v>
      </c>
      <c r="G18" s="4">
        <f t="shared" si="28"/>
        <v>5.5677643628300215</v>
      </c>
      <c r="H18" s="4">
        <f t="shared" si="29"/>
        <v>2.4899799195977463</v>
      </c>
      <c r="K18" s="5"/>
      <c r="M18" s="7">
        <v>176961</v>
      </c>
      <c r="N18" s="4">
        <v>33</v>
      </c>
      <c r="O18" s="12">
        <v>360</v>
      </c>
      <c r="P18" s="12">
        <v>11</v>
      </c>
      <c r="Q18" s="12">
        <v>28</v>
      </c>
      <c r="R18" s="12">
        <f t="shared" ref="R18:R20" si="44">AVERAGE(O18:Q18)</f>
        <v>133</v>
      </c>
      <c r="S18" s="4">
        <f t="shared" si="32"/>
        <v>196.77144101723704</v>
      </c>
      <c r="T18" s="4">
        <f t="shared" si="33"/>
        <v>87.998863629026474</v>
      </c>
      <c r="U18" s="4">
        <f t="shared" ref="U18:U20" si="45">MAX(O18:Q18)</f>
        <v>360</v>
      </c>
      <c r="V18" s="4">
        <f t="shared" ref="V18:V20" si="46">R18*N18</f>
        <v>4389</v>
      </c>
      <c r="Z18" s="7">
        <v>176961</v>
      </c>
      <c r="AA18" s="4">
        <v>33</v>
      </c>
      <c r="AB18" s="4">
        <v>450</v>
      </c>
      <c r="AC18" s="4">
        <v>46</v>
      </c>
      <c r="AD18" s="4">
        <v>21</v>
      </c>
      <c r="AE18" s="12">
        <f t="shared" si="34"/>
        <v>172.33333333333334</v>
      </c>
      <c r="AF18" s="4">
        <f t="shared" si="35"/>
        <v>240.79105741977492</v>
      </c>
      <c r="AG18" s="4">
        <f t="shared" si="36"/>
        <v>107.68503455293435</v>
      </c>
      <c r="AH18" s="4">
        <f t="shared" si="37"/>
        <v>450</v>
      </c>
      <c r="AI18" s="4">
        <f t="shared" si="38"/>
        <v>5687</v>
      </c>
      <c r="AM18" s="7">
        <v>176961</v>
      </c>
      <c r="AN18" s="4">
        <v>34</v>
      </c>
      <c r="AO18" s="4">
        <f>5*60+36</f>
        <v>336</v>
      </c>
      <c r="AP18" s="4">
        <v>28</v>
      </c>
      <c r="AQ18" s="4">
        <v>10</v>
      </c>
      <c r="AR18" s="12">
        <f t="shared" si="39"/>
        <v>124.66666666666667</v>
      </c>
      <c r="AS18" s="4">
        <f t="shared" si="40"/>
        <v>183.2411889650723</v>
      </c>
      <c r="AT18" s="4">
        <f t="shared" si="41"/>
        <v>81.947950960757197</v>
      </c>
      <c r="AU18" s="4">
        <f t="shared" si="42"/>
        <v>336</v>
      </c>
      <c r="AV18" s="4">
        <f t="shared" si="43"/>
        <v>4238.666666666667</v>
      </c>
      <c r="AX18" s="5"/>
      <c r="AZ18" s="5"/>
    </row>
    <row r="19" spans="1:52">
      <c r="A19" s="7">
        <v>177566</v>
      </c>
      <c r="B19" s="4">
        <v>33</v>
      </c>
      <c r="C19" s="12">
        <v>322</v>
      </c>
      <c r="D19" s="12">
        <v>142</v>
      </c>
      <c r="E19" s="12">
        <v>79</v>
      </c>
      <c r="F19" s="12">
        <f t="shared" si="27"/>
        <v>181</v>
      </c>
      <c r="G19" s="4">
        <f t="shared" si="28"/>
        <v>126.10709734190222</v>
      </c>
      <c r="H19" s="4">
        <f t="shared" si="29"/>
        <v>56.396808420335276</v>
      </c>
      <c r="I19" s="4">
        <f t="shared" si="30"/>
        <v>322</v>
      </c>
      <c r="J19" s="4">
        <f t="shared" si="31"/>
        <v>5973</v>
      </c>
      <c r="K19" s="5">
        <f t="shared" si="11"/>
        <v>100</v>
      </c>
      <c r="M19" s="7">
        <v>177566</v>
      </c>
      <c r="N19" s="4">
        <v>33</v>
      </c>
      <c r="O19" s="12">
        <v>288</v>
      </c>
      <c r="P19" s="12">
        <v>40</v>
      </c>
      <c r="Q19" s="12">
        <v>6</v>
      </c>
      <c r="R19" s="12">
        <f t="shared" si="44"/>
        <v>111.33333333333333</v>
      </c>
      <c r="S19" s="4">
        <f t="shared" si="32"/>
        <v>153.93938200906658</v>
      </c>
      <c r="T19" s="4">
        <f t="shared" si="33"/>
        <v>68.843784517316195</v>
      </c>
      <c r="U19" s="4">
        <f t="shared" si="45"/>
        <v>288</v>
      </c>
      <c r="V19" s="4">
        <f t="shared" si="46"/>
        <v>3674</v>
      </c>
      <c r="W19" s="5">
        <f>V19/J19*100</f>
        <v>61.510128913443829</v>
      </c>
      <c r="X19" s="5">
        <f>U19/I19*100</f>
        <v>89.440993788819881</v>
      </c>
      <c r="Z19" s="7">
        <v>177566</v>
      </c>
      <c r="AA19" s="4">
        <v>33</v>
      </c>
      <c r="AB19" s="4">
        <v>544</v>
      </c>
      <c r="AC19" s="4">
        <v>261</v>
      </c>
      <c r="AD19" s="4">
        <v>63</v>
      </c>
      <c r="AE19" s="12">
        <f t="shared" si="34"/>
        <v>289.33333333333331</v>
      </c>
      <c r="AF19" s="4">
        <f t="shared" si="35"/>
        <v>241.74849189464103</v>
      </c>
      <c r="AG19" s="4">
        <f t="shared" si="36"/>
        <v>108.11321226689485</v>
      </c>
      <c r="AH19" s="4">
        <f t="shared" si="37"/>
        <v>544</v>
      </c>
      <c r="AI19" s="4">
        <f t="shared" si="38"/>
        <v>9548</v>
      </c>
      <c r="AJ19" s="5">
        <f>AI19/J19*100</f>
        <v>159.8526703499079</v>
      </c>
      <c r="AK19" s="5">
        <f>AH19/I19*100</f>
        <v>168.94409937888199</v>
      </c>
      <c r="AM19" s="7">
        <v>177566</v>
      </c>
      <c r="AN19" s="4">
        <v>35</v>
      </c>
      <c r="AO19" s="4">
        <v>120</v>
      </c>
      <c r="AP19" s="4">
        <v>23</v>
      </c>
      <c r="AQ19" s="4">
        <v>5</v>
      </c>
      <c r="AR19" s="12">
        <f t="shared" si="39"/>
        <v>49.333333333333336</v>
      </c>
      <c r="AS19" s="4">
        <f t="shared" si="40"/>
        <v>61.857362806163451</v>
      </c>
      <c r="AT19" s="4">
        <f t="shared" si="41"/>
        <v>27.663453628689723</v>
      </c>
      <c r="AU19" s="4">
        <f t="shared" si="42"/>
        <v>120</v>
      </c>
      <c r="AV19" s="4">
        <f t="shared" si="43"/>
        <v>1726.6666666666667</v>
      </c>
      <c r="AX19" s="5">
        <f>AV19/J19*100</f>
        <v>28.907863162006809</v>
      </c>
      <c r="AZ19" s="5">
        <f>AU19/I19*100</f>
        <v>37.267080745341616</v>
      </c>
    </row>
    <row r="20" spans="1:52">
      <c r="A20" s="7">
        <v>177591</v>
      </c>
      <c r="B20" s="4">
        <v>30</v>
      </c>
      <c r="C20" s="12">
        <v>439</v>
      </c>
      <c r="D20" s="12">
        <v>34</v>
      </c>
      <c r="E20" s="12">
        <v>24</v>
      </c>
      <c r="F20" s="12">
        <f t="shared" si="27"/>
        <v>165.66666666666666</v>
      </c>
      <c r="G20" s="4">
        <f t="shared" si="28"/>
        <v>236.76641090605173</v>
      </c>
      <c r="H20" s="4">
        <f t="shared" si="29"/>
        <v>105.88515791491585</v>
      </c>
      <c r="I20" s="4">
        <f t="shared" si="30"/>
        <v>439</v>
      </c>
      <c r="J20" s="4">
        <f t="shared" si="31"/>
        <v>4970</v>
      </c>
      <c r="K20" s="5">
        <f t="shared" si="11"/>
        <v>100</v>
      </c>
      <c r="M20" s="7">
        <v>177591</v>
      </c>
      <c r="N20" s="4">
        <v>32</v>
      </c>
      <c r="O20" s="12">
        <v>453</v>
      </c>
      <c r="P20" s="12">
        <v>14</v>
      </c>
      <c r="Q20" s="12">
        <v>17</v>
      </c>
      <c r="R20" s="12">
        <f t="shared" si="44"/>
        <v>161.33333333333334</v>
      </c>
      <c r="S20" s="4">
        <f t="shared" si="32"/>
        <v>252.59519657612915</v>
      </c>
      <c r="T20" s="4">
        <f t="shared" si="33"/>
        <v>112.96400606682938</v>
      </c>
      <c r="U20" s="4">
        <f t="shared" si="45"/>
        <v>453</v>
      </c>
      <c r="V20" s="4">
        <f t="shared" si="46"/>
        <v>5162.666666666667</v>
      </c>
      <c r="W20" s="5">
        <f>V20/J20*100</f>
        <v>103.87659289067741</v>
      </c>
      <c r="X20" s="5">
        <f>U20/I20*100</f>
        <v>103.18906605922551</v>
      </c>
      <c r="Z20" s="7">
        <v>177591</v>
      </c>
      <c r="AA20" s="4">
        <v>31</v>
      </c>
      <c r="AB20" s="4">
        <f>15*60+36</f>
        <v>936</v>
      </c>
      <c r="AC20" s="4">
        <v>29</v>
      </c>
      <c r="AD20" s="4">
        <v>18</v>
      </c>
      <c r="AE20" s="12">
        <f t="shared" si="34"/>
        <v>327.66666666666669</v>
      </c>
      <c r="AF20" s="4">
        <f t="shared" si="35"/>
        <v>526.86082918863247</v>
      </c>
      <c r="AG20" s="4">
        <f t="shared" si="36"/>
        <v>235.6193257495375</v>
      </c>
      <c r="AH20" s="4">
        <f t="shared" si="37"/>
        <v>936</v>
      </c>
      <c r="AI20" s="4">
        <f t="shared" si="38"/>
        <v>10157.666666666668</v>
      </c>
      <c r="AJ20" s="5">
        <f>AI20/J20*100</f>
        <v>204.37961099932934</v>
      </c>
      <c r="AK20" s="5">
        <f>AH20/I20*100</f>
        <v>213.21184510250569</v>
      </c>
      <c r="AM20" s="7">
        <v>177591</v>
      </c>
      <c r="AN20" s="4">
        <v>32</v>
      </c>
      <c r="AO20" s="4">
        <f>8*60+46</f>
        <v>526</v>
      </c>
      <c r="AP20" s="4">
        <v>38</v>
      </c>
      <c r="AQ20" s="4">
        <v>84</v>
      </c>
      <c r="AR20" s="12">
        <f t="shared" si="39"/>
        <v>216</v>
      </c>
      <c r="AS20" s="4">
        <f t="shared" si="40"/>
        <v>269.45129430010167</v>
      </c>
      <c r="AT20" s="4">
        <f t="shared" si="41"/>
        <v>120.50228213606579</v>
      </c>
      <c r="AU20" s="4">
        <f t="shared" si="42"/>
        <v>526</v>
      </c>
      <c r="AV20" s="4">
        <f t="shared" si="43"/>
        <v>6912</v>
      </c>
      <c r="AX20" s="5">
        <f>AV20/J20*100</f>
        <v>139.07444668008048</v>
      </c>
      <c r="AZ20" s="5">
        <f>AU20/I20*100</f>
        <v>119.81776765375854</v>
      </c>
    </row>
    <row r="21" spans="1:52" s="5" customFormat="1">
      <c r="A21" s="7">
        <v>185764</v>
      </c>
      <c r="B21" s="5">
        <v>31</v>
      </c>
      <c r="C21" s="12">
        <f>8*60+42</f>
        <v>522</v>
      </c>
      <c r="D21" s="12">
        <f>7*60+38</f>
        <v>458</v>
      </c>
      <c r="E21" s="12">
        <v>101</v>
      </c>
      <c r="F21" s="12">
        <f>AVERAGE(C21:E21)</f>
        <v>360.33333333333331</v>
      </c>
      <c r="G21" s="5">
        <f>STDEV(C21:E21)</f>
        <v>226.85751769190577</v>
      </c>
      <c r="H21" s="5">
        <f>G21/(SQRT(3))</f>
        <v>130.97624890711208</v>
      </c>
      <c r="I21" s="5">
        <f>MAX(C21:E21)</f>
        <v>522</v>
      </c>
      <c r="J21" s="5">
        <f>F21*B21</f>
        <v>11170.333333333332</v>
      </c>
      <c r="K21" s="5">
        <f t="shared" si="11"/>
        <v>100</v>
      </c>
      <c r="M21" s="7">
        <v>185764</v>
      </c>
      <c r="N21" s="5">
        <v>33</v>
      </c>
      <c r="O21" s="12">
        <f>6*60+57</f>
        <v>417</v>
      </c>
      <c r="P21" s="12">
        <v>105</v>
      </c>
      <c r="Q21" s="12">
        <f>4*60+8</f>
        <v>248</v>
      </c>
      <c r="R21" s="12">
        <f>AVERAGE(O21:Q21)</f>
        <v>256.66666666666669</v>
      </c>
      <c r="S21" s="5">
        <f>STDEV(O21:Q21)</f>
        <v>156.18045118814752</v>
      </c>
      <c r="T21" s="5">
        <f>S21/(SQRT(3))</f>
        <v>90.170825535634179</v>
      </c>
      <c r="U21" s="5">
        <f>MAX(O21:Q21)</f>
        <v>417</v>
      </c>
      <c r="V21" s="5">
        <f>R21*N21</f>
        <v>8470</v>
      </c>
      <c r="W21" s="5">
        <f>V21/J21*100</f>
        <v>75.825848228939762</v>
      </c>
      <c r="X21" s="5">
        <f>U21/I21*100</f>
        <v>79.885057471264361</v>
      </c>
      <c r="Z21" s="7">
        <v>185764</v>
      </c>
      <c r="AA21" s="5">
        <v>35</v>
      </c>
      <c r="AB21" s="5">
        <v>106</v>
      </c>
      <c r="AC21" s="5">
        <v>20</v>
      </c>
      <c r="AD21" s="5">
        <v>20</v>
      </c>
      <c r="AE21" s="12">
        <f>AVERAGE(AB21:AD21)</f>
        <v>48.666666666666664</v>
      </c>
      <c r="AF21" s="5">
        <f>STDEV(AB21:AD21)</f>
        <v>49.652123150307816</v>
      </c>
      <c r="AG21" s="5">
        <f>AF21/(SQRT(3))</f>
        <v>28.666666666666668</v>
      </c>
      <c r="AH21" s="5">
        <f>MAX(AB21:AD21)</f>
        <v>106</v>
      </c>
      <c r="AI21" s="5">
        <f>AE21*AA21</f>
        <v>1703.3333333333333</v>
      </c>
      <c r="AJ21" s="5">
        <f>AI21/J21*100</f>
        <v>15.248724299483751</v>
      </c>
      <c r="AK21" s="5">
        <f>AH21/I21*100</f>
        <v>20.306513409961685</v>
      </c>
      <c r="AM21" s="7">
        <v>185764</v>
      </c>
      <c r="AN21" s="5">
        <v>36</v>
      </c>
      <c r="AO21" s="5">
        <v>157</v>
      </c>
      <c r="AP21" s="5">
        <v>17</v>
      </c>
      <c r="AQ21" s="5">
        <v>18</v>
      </c>
      <c r="AR21" s="12">
        <f t="shared" si="39"/>
        <v>64</v>
      </c>
      <c r="AS21" s="5">
        <f t="shared" si="40"/>
        <v>80.541914553852024</v>
      </c>
      <c r="AT21" s="5">
        <f t="shared" ref="AT21:AT23" si="47">AS21/(SQRT(4))</f>
        <v>40.270957276926012</v>
      </c>
      <c r="AU21" s="5">
        <v>157</v>
      </c>
      <c r="AV21" s="5">
        <f>AU21*AN21</f>
        <v>5652</v>
      </c>
      <c r="AX21" s="5">
        <f>AV21/J21*100</f>
        <v>50.598311002357441</v>
      </c>
      <c r="AZ21" s="5">
        <f>AU21/I21*100</f>
        <v>30.07662835249042</v>
      </c>
    </row>
    <row r="22" spans="1:52" s="5" customFormat="1">
      <c r="A22" s="7">
        <v>185765</v>
      </c>
      <c r="B22" s="5">
        <v>29</v>
      </c>
      <c r="C22" s="12">
        <f>11*60+5</f>
        <v>665</v>
      </c>
      <c r="D22" s="12">
        <f>9*60+15</f>
        <v>555</v>
      </c>
      <c r="E22" s="12">
        <f>8*60+8</f>
        <v>488</v>
      </c>
      <c r="F22" s="12">
        <f t="shared" ref="F22:F23" si="48">AVERAGE(C22:E22)</f>
        <v>569.33333333333337</v>
      </c>
      <c r="G22" s="5">
        <f t="shared" ref="G22:G23" si="49">STDEV(C22:E22)</f>
        <v>89.366287454125086</v>
      </c>
      <c r="H22" s="5">
        <f t="shared" ref="H22:H23" si="50">G22/(SQRT(3))</f>
        <v>51.595650118116595</v>
      </c>
      <c r="I22" s="5">
        <f t="shared" ref="I22:I23" si="51">MAX(C22:E22)</f>
        <v>665</v>
      </c>
      <c r="J22" s="5">
        <f t="shared" ref="J22:J23" si="52">F22*B22</f>
        <v>16510.666666666668</v>
      </c>
      <c r="K22" s="5">
        <f t="shared" si="11"/>
        <v>100</v>
      </c>
      <c r="M22" s="7">
        <v>185765</v>
      </c>
      <c r="N22" s="5">
        <v>30</v>
      </c>
      <c r="O22" s="12">
        <f>8*60+26</f>
        <v>506</v>
      </c>
      <c r="P22" s="12">
        <f>3*60+17</f>
        <v>197</v>
      </c>
      <c r="Q22" s="12">
        <v>43</v>
      </c>
      <c r="R22" s="12">
        <f t="shared" ref="R22:R23" si="53">AVERAGE(O22:Q22)</f>
        <v>248.66666666666666</v>
      </c>
      <c r="S22" s="5">
        <f t="shared" ref="S22:S23" si="54">STDEV(O22:Q22)</f>
        <v>235.78450613501585</v>
      </c>
      <c r="T22" s="5">
        <f t="shared" ref="T22:T23" si="55">S22/(SQRT(3))</f>
        <v>136.13024808779437</v>
      </c>
      <c r="U22" s="5">
        <f t="shared" ref="U22:U23" si="56">MAX(O22:Q22)</f>
        <v>506</v>
      </c>
      <c r="V22" s="5">
        <f t="shared" ref="V22:V23" si="57">R22*N22</f>
        <v>7460</v>
      </c>
      <c r="W22" s="5">
        <f>V22/J22*100</f>
        <v>45.182912056852132</v>
      </c>
      <c r="X22" s="5">
        <f>U22/I22*100</f>
        <v>76.090225563909769</v>
      </c>
      <c r="Z22" s="7">
        <v>185765</v>
      </c>
      <c r="AA22" s="5">
        <v>33</v>
      </c>
      <c r="AB22" s="5">
        <v>133</v>
      </c>
      <c r="AC22" s="5">
        <v>18</v>
      </c>
      <c r="AD22" s="5">
        <v>5</v>
      </c>
      <c r="AE22" s="12">
        <f t="shared" ref="AE22:AE23" si="58">AVERAGE(AB22:AD22)</f>
        <v>52</v>
      </c>
      <c r="AF22" s="5">
        <f t="shared" ref="AF22:AF23" si="59">STDEV(AB22:AD22)</f>
        <v>70.448562795844168</v>
      </c>
      <c r="AG22" s="5">
        <f t="shared" ref="AG22:AG23" si="60">AF22/(SQRT(3))</f>
        <v>40.673496694202889</v>
      </c>
      <c r="AH22" s="5">
        <f t="shared" ref="AH22:AH23" si="61">MAX(AB22:AD22)</f>
        <v>133</v>
      </c>
      <c r="AI22" s="5">
        <f t="shared" ref="AI22:AI23" si="62">AE22*AA22</f>
        <v>1716</v>
      </c>
      <c r="AJ22" s="5">
        <f>AI22/J22*100</f>
        <v>10.393281111200839</v>
      </c>
      <c r="AK22" s="5">
        <f>AH22/I22*100</f>
        <v>20</v>
      </c>
      <c r="AM22" s="7">
        <v>185765</v>
      </c>
      <c r="AN22" s="5">
        <v>34</v>
      </c>
      <c r="AO22" s="5">
        <v>20</v>
      </c>
      <c r="AP22" s="5">
        <v>185</v>
      </c>
      <c r="AQ22" s="5">
        <v>14</v>
      </c>
      <c r="AR22" s="12">
        <f t="shared" si="39"/>
        <v>73</v>
      </c>
      <c r="AS22" s="5">
        <f t="shared" si="40"/>
        <v>97.04122835166504</v>
      </c>
      <c r="AT22" s="5">
        <f t="shared" si="47"/>
        <v>48.52061417583252</v>
      </c>
      <c r="AU22" s="5">
        <v>185</v>
      </c>
      <c r="AV22" s="5">
        <f t="shared" ref="AV22:AV23" si="63">AU22*AN22</f>
        <v>6290</v>
      </c>
      <c r="AX22" s="5">
        <f>AV22/J22*100</f>
        <v>38.096584026487925</v>
      </c>
      <c r="AZ22" s="5">
        <f>AU22/I22*100</f>
        <v>27.819548872180448</v>
      </c>
    </row>
    <row r="23" spans="1:52" s="5" customFormat="1">
      <c r="A23" s="7">
        <v>185772</v>
      </c>
      <c r="B23" s="5">
        <v>34</v>
      </c>
      <c r="C23" s="12">
        <f>40*60+33</f>
        <v>2433</v>
      </c>
      <c r="D23" s="12">
        <v>68</v>
      </c>
      <c r="E23" s="12">
        <v>38</v>
      </c>
      <c r="F23" s="12">
        <f t="shared" si="48"/>
        <v>846.33333333333337</v>
      </c>
      <c r="G23" s="5">
        <f t="shared" si="49"/>
        <v>1374.1755103818919</v>
      </c>
      <c r="H23" s="5">
        <f t="shared" si="50"/>
        <v>793.38060083277674</v>
      </c>
      <c r="I23" s="5">
        <f t="shared" si="51"/>
        <v>2433</v>
      </c>
      <c r="J23" s="5">
        <f t="shared" si="52"/>
        <v>28775.333333333336</v>
      </c>
      <c r="K23" s="5">
        <f t="shared" si="11"/>
        <v>100</v>
      </c>
      <c r="M23" s="7">
        <v>185772</v>
      </c>
      <c r="N23" s="5">
        <v>36</v>
      </c>
      <c r="O23" s="12">
        <f>8*60+31</f>
        <v>511</v>
      </c>
      <c r="P23" s="12">
        <v>67</v>
      </c>
      <c r="Q23" s="12">
        <v>36</v>
      </c>
      <c r="R23" s="12">
        <f t="shared" si="53"/>
        <v>204.66666666666666</v>
      </c>
      <c r="S23" s="5">
        <f t="shared" si="54"/>
        <v>265.74486511188383</v>
      </c>
      <c r="T23" s="5">
        <f t="shared" si="55"/>
        <v>153.42786940810691</v>
      </c>
      <c r="U23" s="5">
        <f t="shared" si="56"/>
        <v>511</v>
      </c>
      <c r="V23" s="5">
        <f t="shared" si="57"/>
        <v>7368</v>
      </c>
      <c r="W23" s="5">
        <f>V23/J23*100</f>
        <v>25.605263767578712</v>
      </c>
      <c r="X23" s="5">
        <f>U23/I23*100</f>
        <v>21.002877106452939</v>
      </c>
      <c r="Z23" s="7">
        <v>185772</v>
      </c>
      <c r="AA23" s="5">
        <v>38</v>
      </c>
      <c r="AB23" s="5">
        <v>33</v>
      </c>
      <c r="AC23" s="5">
        <v>13</v>
      </c>
      <c r="AD23" s="5">
        <v>7</v>
      </c>
      <c r="AE23" s="12">
        <f t="shared" si="58"/>
        <v>17.666666666666668</v>
      </c>
      <c r="AF23" s="5">
        <f t="shared" si="59"/>
        <v>13.613718571108091</v>
      </c>
      <c r="AG23" s="5">
        <f t="shared" si="60"/>
        <v>7.8598840817010647</v>
      </c>
      <c r="AH23" s="5">
        <f t="shared" si="61"/>
        <v>33</v>
      </c>
      <c r="AI23" s="5">
        <f t="shared" si="62"/>
        <v>671.33333333333337</v>
      </c>
      <c r="AJ23" s="5">
        <f>AI23/J23*100</f>
        <v>2.3330167041215857</v>
      </c>
      <c r="AK23" s="5">
        <f>AH23/I23*100</f>
        <v>1.3563501849568433</v>
      </c>
      <c r="AM23" s="7">
        <v>185772</v>
      </c>
      <c r="AN23" s="5">
        <v>39</v>
      </c>
      <c r="AO23" s="5">
        <v>161</v>
      </c>
      <c r="AP23" s="5">
        <v>7</v>
      </c>
      <c r="AQ23" s="5">
        <v>15</v>
      </c>
      <c r="AR23" s="12">
        <f t="shared" si="39"/>
        <v>61</v>
      </c>
      <c r="AS23" s="5">
        <f t="shared" si="40"/>
        <v>86.694867206772969</v>
      </c>
      <c r="AT23" s="5">
        <f t="shared" si="47"/>
        <v>43.347433603386484</v>
      </c>
      <c r="AU23" s="5">
        <v>161</v>
      </c>
      <c r="AV23" s="5">
        <f t="shared" si="63"/>
        <v>6279</v>
      </c>
      <c r="AX23" s="5">
        <f>AV23/J23*100</f>
        <v>21.820772420823388</v>
      </c>
      <c r="AZ23" s="5">
        <f>AU23/I23*100</f>
        <v>6.6173448417591461</v>
      </c>
    </row>
    <row r="24" spans="1:52">
      <c r="A24" s="4" t="s">
        <v>14</v>
      </c>
      <c r="B24" s="13">
        <f>AVERAGE(B16:B23)</f>
        <v>32.875</v>
      </c>
      <c r="C24" s="12"/>
      <c r="D24" s="12"/>
      <c r="F24" s="13">
        <f>AVERAGE(F16:F23)</f>
        <v>273.875</v>
      </c>
      <c r="J24" s="4">
        <f>F24*B24</f>
        <v>9003.640625</v>
      </c>
      <c r="K24" s="5"/>
      <c r="M24" s="4" t="s">
        <v>14</v>
      </c>
      <c r="N24" s="13">
        <f>AVERAGE(N16:N23)</f>
        <v>34.125</v>
      </c>
      <c r="O24" s="12"/>
      <c r="P24" s="12"/>
      <c r="R24" s="13">
        <f>AVERAGE(R17:R23)</f>
        <v>162.61904761904762</v>
      </c>
      <c r="V24" s="4">
        <f>R24*N24</f>
        <v>5549.375</v>
      </c>
      <c r="W24" s="5">
        <f>AVERAGE(W16:W23)</f>
        <v>66.953828013285687</v>
      </c>
      <c r="X24" s="5">
        <f>AVERAGE(X18:X23)</f>
        <v>73.921643997934495</v>
      </c>
      <c r="Z24" s="4" t="s">
        <v>14</v>
      </c>
      <c r="AA24" s="13">
        <f>AVERAGE(AA16:AA23)</f>
        <v>35</v>
      </c>
      <c r="AB24" s="12"/>
      <c r="AC24" s="12"/>
      <c r="AE24" s="13">
        <f>AVERAGE(AE16:AE23)</f>
        <v>129.91666666666666</v>
      </c>
      <c r="AI24" s="4">
        <f t="shared" si="38"/>
        <v>4547.083333333333</v>
      </c>
      <c r="AJ24" s="5">
        <f>AVERAGE(AJ16:AJ23)</f>
        <v>128.34741967882809</v>
      </c>
      <c r="AK24" s="5">
        <f>AVERAGE(AK16:AK23)</f>
        <v>136.05324709213338</v>
      </c>
      <c r="AM24" s="4" t="s">
        <v>14</v>
      </c>
      <c r="AN24" s="13">
        <f>AVERAGE(AN16:AN23)</f>
        <v>36.125</v>
      </c>
      <c r="AO24" s="12"/>
      <c r="AP24" s="12"/>
      <c r="AR24" s="13">
        <f>AVERAGE(AR16:AR23)</f>
        <v>78.583333333333343</v>
      </c>
      <c r="AV24" s="4">
        <f t="shared" si="43"/>
        <v>2838.822916666667</v>
      </c>
      <c r="AX24" s="5">
        <f>AVERAGE(W37)</f>
        <v>191.52135137618913</v>
      </c>
      <c r="AZ24" s="5">
        <f>AVERAGE(AZ16:AZ23)</f>
        <v>65.62049550067799</v>
      </c>
    </row>
    <row r="25" spans="1:52">
      <c r="A25" s="7"/>
      <c r="C25" s="12"/>
      <c r="D25" s="12"/>
      <c r="F25" s="13"/>
      <c r="K25" s="5"/>
      <c r="M25" s="7"/>
      <c r="O25" s="12"/>
      <c r="P25" s="12"/>
      <c r="R25" s="13"/>
      <c r="V25" s="13"/>
      <c r="W25" s="5">
        <f>STDEV(W16:W23)</f>
        <v>28.891914060528169</v>
      </c>
      <c r="X25" s="5">
        <f>STDEV(X18:X23)</f>
        <v>31.377114062731874</v>
      </c>
      <c r="Z25" s="7"/>
      <c r="AB25" s="12"/>
      <c r="AC25" s="12"/>
      <c r="AE25" s="13"/>
      <c r="AI25" s="13"/>
      <c r="AJ25" s="5">
        <f>STDEV(AJ16:AJ23)</f>
        <v>150.58451048567724</v>
      </c>
      <c r="AK25" s="5">
        <f>STDEV(AK16:AK23)</f>
        <v>151.40473409796897</v>
      </c>
      <c r="AM25" s="7"/>
      <c r="AO25" s="7"/>
      <c r="AP25" s="7"/>
      <c r="AR25" s="13"/>
      <c r="AV25" s="13"/>
      <c r="AX25" s="5">
        <f>STDEV(AX16:AX23)</f>
        <v>43.390254532253202</v>
      </c>
      <c r="AZ25" s="5">
        <f>STDEV(AZ16:AZ23)</f>
        <v>61.801383429021058</v>
      </c>
    </row>
    <row r="26" spans="1:52">
      <c r="K26" s="5"/>
      <c r="W26" s="5">
        <f>W25/2.82</f>
        <v>10.245359595931975</v>
      </c>
      <c r="X26" s="5">
        <f>X25/2.82</f>
        <v>11.126636192458111</v>
      </c>
      <c r="AJ26" s="5">
        <f>AJ25/2.82</f>
        <v>53.398762583573493</v>
      </c>
      <c r="AK26" s="5">
        <f>AK25/2.82</f>
        <v>53.689622020556378</v>
      </c>
      <c r="AX26" s="5">
        <f>AX25/2.82</f>
        <v>15.386615082359292</v>
      </c>
      <c r="AZ26" s="5">
        <f>AZ25/2.82</f>
        <v>21.915384194688318</v>
      </c>
    </row>
    <row r="27" spans="1:52">
      <c r="B27" s="16" t="s">
        <v>1</v>
      </c>
      <c r="C27" s="16"/>
      <c r="D27" s="16"/>
      <c r="E27" s="16"/>
      <c r="K27" s="5"/>
      <c r="N27" s="16" t="s">
        <v>2</v>
      </c>
      <c r="O27" s="16"/>
      <c r="P27" s="16"/>
      <c r="Q27" s="16"/>
      <c r="AA27" s="16" t="s">
        <v>3</v>
      </c>
      <c r="AB27" s="16"/>
      <c r="AC27" s="16"/>
      <c r="AD27" s="16"/>
      <c r="AN27" s="16" t="s">
        <v>4</v>
      </c>
      <c r="AO27" s="16"/>
      <c r="AP27" s="16"/>
      <c r="AQ27" s="16"/>
      <c r="AX27" s="5"/>
      <c r="AZ27" s="5"/>
    </row>
    <row r="28" spans="1:52">
      <c r="A28" s="4" t="s">
        <v>6</v>
      </c>
      <c r="B28" s="4" t="s">
        <v>10</v>
      </c>
      <c r="C28" s="4">
        <v>1</v>
      </c>
      <c r="D28" s="4">
        <v>2</v>
      </c>
      <c r="E28" s="4">
        <v>3</v>
      </c>
      <c r="F28" s="4" t="s">
        <v>14</v>
      </c>
      <c r="G28" s="4" t="s">
        <v>15</v>
      </c>
      <c r="H28" s="4" t="s">
        <v>16</v>
      </c>
      <c r="I28" s="4" t="s">
        <v>17</v>
      </c>
      <c r="J28" s="4" t="s">
        <v>18</v>
      </c>
      <c r="K28" s="5"/>
      <c r="M28" s="4" t="s">
        <v>6</v>
      </c>
      <c r="N28" s="4" t="s">
        <v>10</v>
      </c>
      <c r="O28" s="4">
        <v>1</v>
      </c>
      <c r="P28" s="4">
        <v>2</v>
      </c>
      <c r="Q28" s="4">
        <v>3</v>
      </c>
      <c r="R28" s="4" t="s">
        <v>14</v>
      </c>
      <c r="S28" s="4" t="s">
        <v>15</v>
      </c>
      <c r="T28" s="4" t="s">
        <v>16</v>
      </c>
      <c r="U28" s="4" t="s">
        <v>17</v>
      </c>
      <c r="V28" s="4" t="s">
        <v>18</v>
      </c>
      <c r="Z28" s="4" t="s">
        <v>6</v>
      </c>
      <c r="AA28" s="4" t="s">
        <v>10</v>
      </c>
      <c r="AB28" s="4">
        <v>1</v>
      </c>
      <c r="AC28" s="4">
        <v>2</v>
      </c>
      <c r="AD28" s="4">
        <v>3</v>
      </c>
      <c r="AE28" s="4" t="s">
        <v>14</v>
      </c>
      <c r="AF28" s="4" t="s">
        <v>15</v>
      </c>
      <c r="AG28" s="4" t="s">
        <v>16</v>
      </c>
      <c r="AH28" s="4" t="s">
        <v>17</v>
      </c>
      <c r="AI28" s="4" t="s">
        <v>18</v>
      </c>
      <c r="AM28" s="4" t="s">
        <v>6</v>
      </c>
      <c r="AN28" s="4" t="s">
        <v>10</v>
      </c>
      <c r="AO28" s="4">
        <v>1</v>
      </c>
      <c r="AP28" s="4">
        <v>2</v>
      </c>
      <c r="AQ28" s="4">
        <v>3</v>
      </c>
      <c r="AR28" s="4" t="s">
        <v>14</v>
      </c>
      <c r="AS28" s="4" t="s">
        <v>15</v>
      </c>
      <c r="AT28" s="4" t="s">
        <v>16</v>
      </c>
      <c r="AU28" s="4" t="s">
        <v>17</v>
      </c>
      <c r="AV28" s="4" t="s">
        <v>18</v>
      </c>
      <c r="AX28" s="5"/>
      <c r="AZ28" s="5"/>
    </row>
    <row r="29" spans="1:52">
      <c r="A29" s="7">
        <v>176939</v>
      </c>
      <c r="B29" s="4">
        <v>36</v>
      </c>
      <c r="C29" s="7">
        <v>69</v>
      </c>
      <c r="D29" s="7">
        <v>130</v>
      </c>
      <c r="E29" s="7">
        <v>17</v>
      </c>
      <c r="F29" s="12">
        <f>AVERAGE(C29:E29)</f>
        <v>72</v>
      </c>
      <c r="G29" s="4">
        <f>STDEV(C29:E29)</f>
        <v>56.55970296951709</v>
      </c>
      <c r="H29" s="4">
        <f>G29/(SQRT(5))</f>
        <v>25.294268125407385</v>
      </c>
      <c r="I29" s="4">
        <f>MAX(C29:E29)</f>
        <v>130</v>
      </c>
      <c r="J29" s="4">
        <f>F29*B29</f>
        <v>2592</v>
      </c>
      <c r="K29" s="5">
        <f t="shared" si="11"/>
        <v>100</v>
      </c>
      <c r="M29" s="7">
        <v>176939</v>
      </c>
      <c r="N29" s="4">
        <v>37</v>
      </c>
      <c r="O29" s="7">
        <v>473</v>
      </c>
      <c r="P29" s="7">
        <v>302</v>
      </c>
      <c r="Q29" s="7">
        <v>178</v>
      </c>
      <c r="R29" s="12">
        <f>AVERAGE(O29:Q29)</f>
        <v>317.66666666666669</v>
      </c>
      <c r="S29" s="4">
        <f>STDEV(O29:Q29)</f>
        <v>148.12269688786165</v>
      </c>
      <c r="T29" s="4">
        <f>S29/(SQRT(5))</f>
        <v>66.24248385037103</v>
      </c>
      <c r="U29" s="4">
        <f>MAX(O29:Q29)</f>
        <v>473</v>
      </c>
      <c r="V29" s="4">
        <f>R29*N29</f>
        <v>11753.666666666668</v>
      </c>
      <c r="W29" s="5">
        <f t="shared" ref="W29:W36" si="64">V29/J29*100</f>
        <v>453.45936213991774</v>
      </c>
      <c r="X29" s="5">
        <f t="shared" ref="X29:X36" si="65">U29/I29*100</f>
        <v>363.84615384615387</v>
      </c>
      <c r="Z29" s="7">
        <v>176939</v>
      </c>
      <c r="AA29" s="4">
        <v>35</v>
      </c>
      <c r="AB29" s="4">
        <f>18*60+30</f>
        <v>1110</v>
      </c>
      <c r="AC29" s="4">
        <v>327</v>
      </c>
      <c r="AD29" s="4">
        <v>90</v>
      </c>
      <c r="AE29" s="12">
        <f>AVERAGE(AB29:AD29)</f>
        <v>509</v>
      </c>
      <c r="AF29" s="4">
        <f>STDEV(AB29:AD29)</f>
        <v>533.80052454076883</v>
      </c>
      <c r="AG29" s="4">
        <f>AF29/(SQRT(5))</f>
        <v>238.72285185964074</v>
      </c>
      <c r="AH29" s="4">
        <f>MAX(AB29:AD29)</f>
        <v>1110</v>
      </c>
      <c r="AI29" s="4">
        <f>AE29*AA29</f>
        <v>17815</v>
      </c>
      <c r="AJ29" s="5">
        <f t="shared" ref="AJ29:AJ36" si="66">AI29/J29*100</f>
        <v>687.3070987654321</v>
      </c>
      <c r="AK29" s="5">
        <f t="shared" ref="AK29:AK36" si="67">AH29/I29*100</f>
        <v>853.84615384615381</v>
      </c>
      <c r="AM29" s="7">
        <v>176939</v>
      </c>
      <c r="AN29" s="4">
        <v>35</v>
      </c>
      <c r="AO29" s="4">
        <f>4*60+22</f>
        <v>262</v>
      </c>
      <c r="AP29" s="4">
        <v>106</v>
      </c>
      <c r="AQ29" s="4">
        <v>33</v>
      </c>
      <c r="AR29" s="12">
        <f>AVERAGE(AO29:AQ29)</f>
        <v>133.66666666666666</v>
      </c>
      <c r="AS29" s="4">
        <f>STDEV(AO29:AQ29)</f>
        <v>116.98005528009179</v>
      </c>
      <c r="AT29" s="4">
        <f>AS29/(SQRT(5))</f>
        <v>52.31507112359369</v>
      </c>
      <c r="AU29" s="4">
        <f>MAX(AO29:AQ29)</f>
        <v>262</v>
      </c>
      <c r="AV29" s="4">
        <f>AR29*AN29</f>
        <v>4678.333333333333</v>
      </c>
      <c r="AX29" s="5">
        <f t="shared" ref="AX29:AX36" si="68">AV29/J29*100</f>
        <v>180.49125514403289</v>
      </c>
      <c r="AZ29" s="5">
        <f t="shared" ref="AZ29:AZ36" si="69">AU29/I29*100</f>
        <v>201.53846153846155</v>
      </c>
    </row>
    <row r="30" spans="1:52">
      <c r="A30" s="7">
        <v>175157</v>
      </c>
      <c r="B30" s="4">
        <v>33</v>
      </c>
      <c r="C30" s="7">
        <v>9</v>
      </c>
      <c r="D30" s="7">
        <v>18</v>
      </c>
      <c r="E30" s="7">
        <v>6</v>
      </c>
      <c r="F30" s="12">
        <f t="shared" ref="F30:F33" si="70">AVERAGE(C30:E30)</f>
        <v>11</v>
      </c>
      <c r="G30" s="4">
        <f t="shared" ref="G30:G33" si="71">STDEV(C30:E30)</f>
        <v>6.2449979983983983</v>
      </c>
      <c r="H30" s="4">
        <f t="shared" ref="H30:H33" si="72">G30/(SQRT(5))</f>
        <v>2.7928480087537881</v>
      </c>
      <c r="I30" s="4">
        <f t="shared" ref="I30:I33" si="73">MAX(C30:E30)</f>
        <v>18</v>
      </c>
      <c r="J30" s="4">
        <f t="shared" ref="J30:J33" si="74">F30*B30</f>
        <v>363</v>
      </c>
      <c r="K30" s="5">
        <f t="shared" si="11"/>
        <v>100</v>
      </c>
      <c r="M30" s="7">
        <v>175157</v>
      </c>
      <c r="N30" s="4">
        <v>34</v>
      </c>
      <c r="O30" s="7">
        <v>68</v>
      </c>
      <c r="P30" s="7">
        <v>10</v>
      </c>
      <c r="Q30" s="7">
        <v>6</v>
      </c>
      <c r="R30" s="12">
        <f t="shared" ref="R30:R33" si="75">AVERAGE(O30:Q30)</f>
        <v>28</v>
      </c>
      <c r="S30" s="4">
        <f t="shared" ref="S30:S33" si="76">STDEV(O30:Q30)</f>
        <v>34.698703145794944</v>
      </c>
      <c r="T30" s="4">
        <f t="shared" ref="T30:T33" si="77">S30/(SQRT(5))</f>
        <v>15.517731793016658</v>
      </c>
      <c r="U30" s="4">
        <f t="shared" ref="U30:U33" si="78">MAX(O30:Q30)</f>
        <v>68</v>
      </c>
      <c r="V30" s="4">
        <f t="shared" ref="V30:V37" si="79">R30*N30</f>
        <v>952</v>
      </c>
      <c r="W30" s="5">
        <f t="shared" si="64"/>
        <v>262.25895316804406</v>
      </c>
      <c r="X30" s="5">
        <f t="shared" si="65"/>
        <v>377.77777777777777</v>
      </c>
      <c r="Z30" s="7">
        <v>175157</v>
      </c>
      <c r="AA30" s="4">
        <v>35</v>
      </c>
      <c r="AB30" s="4">
        <f>3*60+53</f>
        <v>233</v>
      </c>
      <c r="AC30" s="4">
        <v>69</v>
      </c>
      <c r="AD30" s="4">
        <v>47</v>
      </c>
      <c r="AE30" s="12">
        <f t="shared" ref="AE30:AE33" si="80">AVERAGE(AB30:AD30)</f>
        <v>116.33333333333333</v>
      </c>
      <c r="AF30" s="4">
        <f t="shared" ref="AF30:AF33" si="81">STDEV(AB30:AD30)</f>
        <v>101.63332786706009</v>
      </c>
      <c r="AG30" s="4">
        <f t="shared" ref="AG30:AG33" si="82">AF30/(SQRT(5))</f>
        <v>45.451805978054011</v>
      </c>
      <c r="AH30" s="4">
        <f t="shared" ref="AH30:AH33" si="83">MAX(AB30:AD30)</f>
        <v>233</v>
      </c>
      <c r="AI30" s="4">
        <f t="shared" ref="AI30:AI37" si="84">AE30*AA30</f>
        <v>4071.6666666666665</v>
      </c>
      <c r="AJ30" s="5">
        <f t="shared" si="66"/>
        <v>1121.6712580348944</v>
      </c>
      <c r="AK30" s="5">
        <f t="shared" si="67"/>
        <v>1294.4444444444446</v>
      </c>
      <c r="AM30" s="7">
        <v>175157</v>
      </c>
      <c r="AN30" s="4">
        <v>35</v>
      </c>
      <c r="AO30" s="4">
        <v>108</v>
      </c>
      <c r="AP30" s="4">
        <v>19</v>
      </c>
      <c r="AQ30" s="4">
        <v>28</v>
      </c>
      <c r="AR30" s="12">
        <f t="shared" ref="AR30:AR36" si="85">AVERAGE(AO30:AQ30)</f>
        <v>51.666666666666664</v>
      </c>
      <c r="AS30" s="4">
        <f t="shared" ref="AS30:AS36" si="86">STDEV(AO30:AQ30)</f>
        <v>48.993196806631566</v>
      </c>
      <c r="AT30" s="4">
        <f t="shared" ref="AT30:AT33" si="87">AS30/(SQRT(5))</f>
        <v>21.91042369893076</v>
      </c>
      <c r="AU30" s="4">
        <f t="shared" ref="AU30:AU33" si="88">MAX(AO30:AQ30)</f>
        <v>108</v>
      </c>
      <c r="AV30" s="4">
        <f t="shared" ref="AV30:AV37" si="89">AR30*AN30</f>
        <v>1808.3333333333333</v>
      </c>
      <c r="AX30" s="5">
        <f t="shared" si="68"/>
        <v>498.16345270890724</v>
      </c>
      <c r="AZ30" s="5">
        <f t="shared" si="69"/>
        <v>600</v>
      </c>
    </row>
    <row r="31" spans="1:52">
      <c r="A31" s="7">
        <v>176962</v>
      </c>
      <c r="B31" s="4">
        <v>31</v>
      </c>
      <c r="C31" s="7">
        <v>45</v>
      </c>
      <c r="D31" s="7">
        <v>17</v>
      </c>
      <c r="E31" s="7">
        <v>3</v>
      </c>
      <c r="F31" s="12">
        <f t="shared" si="70"/>
        <v>21.666666666666668</v>
      </c>
      <c r="G31" s="4">
        <f t="shared" si="71"/>
        <v>21.385353243127255</v>
      </c>
      <c r="H31" s="4">
        <f t="shared" si="72"/>
        <v>9.5638207148956251</v>
      </c>
      <c r="I31" s="4">
        <f t="shared" si="73"/>
        <v>45</v>
      </c>
      <c r="J31" s="4">
        <f t="shared" si="74"/>
        <v>671.66666666666674</v>
      </c>
      <c r="K31" s="5">
        <f t="shared" si="11"/>
        <v>100</v>
      </c>
      <c r="M31" s="7">
        <v>176962</v>
      </c>
      <c r="N31" s="4">
        <v>33</v>
      </c>
      <c r="O31" s="7">
        <v>110</v>
      </c>
      <c r="P31" s="7">
        <v>5</v>
      </c>
      <c r="Q31" s="7">
        <v>8</v>
      </c>
      <c r="R31" s="12">
        <f t="shared" si="75"/>
        <v>41</v>
      </c>
      <c r="S31" s="4">
        <f t="shared" si="76"/>
        <v>59.774576535513823</v>
      </c>
      <c r="T31" s="4">
        <f t="shared" si="77"/>
        <v>26.732003291934554</v>
      </c>
      <c r="U31" s="4">
        <f t="shared" si="78"/>
        <v>110</v>
      </c>
      <c r="V31" s="4">
        <f t="shared" si="79"/>
        <v>1353</v>
      </c>
      <c r="W31" s="5">
        <f t="shared" si="64"/>
        <v>201.43920595533498</v>
      </c>
      <c r="X31" s="5">
        <f t="shared" si="65"/>
        <v>244.44444444444446</v>
      </c>
      <c r="Z31" s="7">
        <v>176962</v>
      </c>
      <c r="AA31" s="4">
        <v>34</v>
      </c>
      <c r="AB31" s="4">
        <f>5*60+35</f>
        <v>335</v>
      </c>
      <c r="AC31" s="4">
        <v>39</v>
      </c>
      <c r="AD31" s="4">
        <v>21</v>
      </c>
      <c r="AE31" s="12">
        <f t="shared" si="80"/>
        <v>131.66666666666666</v>
      </c>
      <c r="AF31" s="4">
        <f t="shared" si="81"/>
        <v>176.32167573311381</v>
      </c>
      <c r="AG31" s="4">
        <f t="shared" si="82"/>
        <v>78.853450569183508</v>
      </c>
      <c r="AH31" s="4">
        <f t="shared" si="83"/>
        <v>335</v>
      </c>
      <c r="AI31" s="4">
        <f t="shared" si="84"/>
        <v>4476.6666666666661</v>
      </c>
      <c r="AJ31" s="5">
        <f t="shared" si="66"/>
        <v>666.50124069478898</v>
      </c>
      <c r="AK31" s="5">
        <f t="shared" si="67"/>
        <v>744.44444444444446</v>
      </c>
      <c r="AM31" s="7">
        <v>176962</v>
      </c>
      <c r="AN31" s="4">
        <v>34</v>
      </c>
      <c r="AO31" s="4">
        <f>4*60+13</f>
        <v>253</v>
      </c>
      <c r="AP31" s="4">
        <v>32</v>
      </c>
      <c r="AQ31" s="4">
        <v>19</v>
      </c>
      <c r="AR31" s="12">
        <f t="shared" si="85"/>
        <v>101.33333333333333</v>
      </c>
      <c r="AS31" s="4">
        <f t="shared" si="86"/>
        <v>131.50792118094384</v>
      </c>
      <c r="AT31" s="4">
        <f t="shared" si="87"/>
        <v>58.812130268054965</v>
      </c>
      <c r="AU31" s="4">
        <f t="shared" si="88"/>
        <v>253</v>
      </c>
      <c r="AV31" s="4">
        <f t="shared" si="89"/>
        <v>3445.333333333333</v>
      </c>
      <c r="AX31" s="5">
        <f t="shared" si="68"/>
        <v>512.95285359801483</v>
      </c>
      <c r="AZ31" s="5">
        <f t="shared" si="69"/>
        <v>562.22222222222217</v>
      </c>
    </row>
    <row r="32" spans="1:52">
      <c r="A32" s="7">
        <v>177567</v>
      </c>
      <c r="B32" s="4">
        <v>31</v>
      </c>
      <c r="C32" s="7">
        <v>786</v>
      </c>
      <c r="D32" s="7">
        <v>38</v>
      </c>
      <c r="E32" s="7">
        <v>362</v>
      </c>
      <c r="F32" s="12">
        <f t="shared" si="70"/>
        <v>395.33333333333331</v>
      </c>
      <c r="G32" s="4">
        <f t="shared" si="71"/>
        <v>375.1124275911601</v>
      </c>
      <c r="H32" s="4">
        <f t="shared" si="72"/>
        <v>167.75537745976033</v>
      </c>
      <c r="I32" s="4">
        <f t="shared" si="73"/>
        <v>786</v>
      </c>
      <c r="J32" s="4">
        <f t="shared" si="74"/>
        <v>12255.333333333332</v>
      </c>
      <c r="K32" s="5">
        <f t="shared" si="11"/>
        <v>100</v>
      </c>
      <c r="M32" s="7">
        <v>177567</v>
      </c>
      <c r="N32" s="4">
        <v>32</v>
      </c>
      <c r="O32" s="7">
        <v>2235</v>
      </c>
      <c r="P32" s="7">
        <v>30</v>
      </c>
      <c r="Q32" s="7">
        <v>51</v>
      </c>
      <c r="R32" s="12">
        <f t="shared" si="75"/>
        <v>772</v>
      </c>
      <c r="S32" s="4">
        <f t="shared" si="76"/>
        <v>1267.0386734429221</v>
      </c>
      <c r="T32" s="4">
        <f t="shared" si="77"/>
        <v>566.63692078790621</v>
      </c>
      <c r="U32" s="4">
        <f t="shared" si="78"/>
        <v>2235</v>
      </c>
      <c r="V32" s="4">
        <f t="shared" si="79"/>
        <v>24704</v>
      </c>
      <c r="W32" s="5">
        <f t="shared" si="64"/>
        <v>201.57754447043467</v>
      </c>
      <c r="X32" s="5">
        <f t="shared" si="65"/>
        <v>284.35114503816794</v>
      </c>
      <c r="Z32" s="7">
        <v>177567</v>
      </c>
      <c r="AA32" s="4">
        <v>32</v>
      </c>
      <c r="AB32" s="4">
        <f>14*60+12</f>
        <v>852</v>
      </c>
      <c r="AC32" s="4">
        <v>98</v>
      </c>
      <c r="AD32" s="4">
        <v>11</v>
      </c>
      <c r="AE32" s="12">
        <f t="shared" si="80"/>
        <v>320.33333333333331</v>
      </c>
      <c r="AF32" s="4">
        <f t="shared" si="81"/>
        <v>462.48711693768655</v>
      </c>
      <c r="AG32" s="4">
        <f t="shared" si="82"/>
        <v>206.83052643811229</v>
      </c>
      <c r="AH32" s="4">
        <f t="shared" si="83"/>
        <v>852</v>
      </c>
      <c r="AI32" s="4">
        <f t="shared" si="84"/>
        <v>10250.666666666666</v>
      </c>
      <c r="AJ32" s="5">
        <f t="shared" si="66"/>
        <v>83.642495784148394</v>
      </c>
      <c r="AK32" s="5">
        <f t="shared" si="67"/>
        <v>108.3969465648855</v>
      </c>
      <c r="AM32" s="7">
        <v>177567</v>
      </c>
      <c r="AN32" s="4">
        <v>33</v>
      </c>
      <c r="AO32" s="4">
        <f>8*60+19</f>
        <v>499</v>
      </c>
      <c r="AP32" s="4">
        <f>2*60+46</f>
        <v>166</v>
      </c>
      <c r="AQ32" s="4">
        <f>3*60+16</f>
        <v>196</v>
      </c>
      <c r="AR32" s="12">
        <f t="shared" si="85"/>
        <v>287</v>
      </c>
      <c r="AS32" s="4">
        <f t="shared" si="86"/>
        <v>184.20912029538601</v>
      </c>
      <c r="AT32" s="4">
        <f t="shared" si="87"/>
        <v>82.38082301118385</v>
      </c>
      <c r="AU32" s="4">
        <f t="shared" si="88"/>
        <v>499</v>
      </c>
      <c r="AV32" s="4">
        <f t="shared" si="89"/>
        <v>9471</v>
      </c>
      <c r="AX32" s="5">
        <f t="shared" si="68"/>
        <v>77.280639721481819</v>
      </c>
      <c r="AZ32" s="5">
        <f t="shared" si="69"/>
        <v>63.48600508905853</v>
      </c>
    </row>
    <row r="33" spans="1:52">
      <c r="A33" s="7">
        <v>177592</v>
      </c>
      <c r="B33" s="4">
        <v>33</v>
      </c>
      <c r="C33" s="7">
        <v>68</v>
      </c>
      <c r="D33" s="7">
        <v>69</v>
      </c>
      <c r="E33" s="7">
        <v>9</v>
      </c>
      <c r="F33" s="12">
        <f t="shared" si="70"/>
        <v>48.666666666666664</v>
      </c>
      <c r="G33" s="4">
        <f t="shared" si="71"/>
        <v>34.35597958628648</v>
      </c>
      <c r="H33" s="4">
        <f t="shared" si="72"/>
        <v>15.364461157706334</v>
      </c>
      <c r="I33" s="4">
        <f t="shared" si="73"/>
        <v>69</v>
      </c>
      <c r="J33" s="4">
        <f t="shared" si="74"/>
        <v>1606</v>
      </c>
      <c r="K33" s="5">
        <f t="shared" si="11"/>
        <v>100</v>
      </c>
      <c r="M33" s="7">
        <v>177592</v>
      </c>
      <c r="N33" s="4">
        <v>33</v>
      </c>
      <c r="O33" s="7">
        <v>250</v>
      </c>
      <c r="P33" s="7">
        <v>19</v>
      </c>
      <c r="Q33" s="7">
        <v>22</v>
      </c>
      <c r="R33" s="12">
        <f t="shared" si="75"/>
        <v>97</v>
      </c>
      <c r="S33" s="4">
        <f t="shared" si="76"/>
        <v>132.51037695214666</v>
      </c>
      <c r="T33" s="4">
        <f t="shared" si="77"/>
        <v>59.260442117824262</v>
      </c>
      <c r="U33" s="4">
        <f t="shared" si="78"/>
        <v>250</v>
      </c>
      <c r="V33" s="4">
        <f t="shared" si="79"/>
        <v>3201</v>
      </c>
      <c r="W33" s="5">
        <f t="shared" si="64"/>
        <v>199.31506849315068</v>
      </c>
      <c r="X33" s="5">
        <f t="shared" si="65"/>
        <v>362.31884057971013</v>
      </c>
      <c r="Z33" s="7">
        <v>177592</v>
      </c>
      <c r="AA33" s="4">
        <v>33</v>
      </c>
      <c r="AB33" s="4">
        <f>9*60+35</f>
        <v>575</v>
      </c>
      <c r="AC33" s="4">
        <v>15</v>
      </c>
      <c r="AD33" s="4">
        <v>30</v>
      </c>
      <c r="AE33" s="12">
        <f t="shared" si="80"/>
        <v>206.66666666666666</v>
      </c>
      <c r="AF33" s="4">
        <f t="shared" si="81"/>
        <v>319.07418155239912</v>
      </c>
      <c r="AG33" s="4">
        <f t="shared" si="82"/>
        <v>142.69431196325476</v>
      </c>
      <c r="AH33" s="4">
        <f t="shared" si="83"/>
        <v>575</v>
      </c>
      <c r="AI33" s="4">
        <f t="shared" si="84"/>
        <v>6820</v>
      </c>
      <c r="AJ33" s="5">
        <f t="shared" si="66"/>
        <v>424.65753424657532</v>
      </c>
      <c r="AK33" s="5">
        <f t="shared" si="67"/>
        <v>833.33333333333337</v>
      </c>
      <c r="AM33" s="7">
        <v>177592</v>
      </c>
      <c r="AN33" s="4">
        <v>33</v>
      </c>
      <c r="AO33" s="4">
        <f>3*60+4</f>
        <v>184</v>
      </c>
      <c r="AP33" s="4">
        <v>35</v>
      </c>
      <c r="AQ33" s="4">
        <v>2</v>
      </c>
      <c r="AR33" s="12">
        <f t="shared" si="85"/>
        <v>73.666666666666671</v>
      </c>
      <c r="AS33" s="4">
        <f t="shared" si="86"/>
        <v>96.965629649548148</v>
      </c>
      <c r="AT33" s="4">
        <f t="shared" si="87"/>
        <v>43.364347875491752</v>
      </c>
      <c r="AU33" s="4">
        <f t="shared" si="88"/>
        <v>184</v>
      </c>
      <c r="AV33" s="4">
        <f t="shared" si="89"/>
        <v>2431</v>
      </c>
      <c r="AX33" s="5">
        <f t="shared" si="68"/>
        <v>151.36986301369865</v>
      </c>
      <c r="AZ33" s="5">
        <f t="shared" si="69"/>
        <v>266.66666666666663</v>
      </c>
    </row>
    <row r="34" spans="1:52" s="5" customFormat="1">
      <c r="A34" s="5">
        <v>185397</v>
      </c>
      <c r="B34" s="5">
        <v>30</v>
      </c>
      <c r="C34" s="5">
        <f>8*60+4</f>
        <v>484</v>
      </c>
      <c r="D34" s="5">
        <v>84</v>
      </c>
      <c r="E34" s="5">
        <f>6*60+54</f>
        <v>414</v>
      </c>
      <c r="F34" s="7">
        <f>AVERAGE(C34:E34)</f>
        <v>327.33333333333331</v>
      </c>
      <c r="G34" s="5">
        <f>STDEV(C34:E34)</f>
        <v>213.61959960016156</v>
      </c>
      <c r="H34" s="5">
        <f>G34/(SQRT(3))</f>
        <v>123.33333333333336</v>
      </c>
      <c r="I34" s="5">
        <f>MAX(C34:E34)</f>
        <v>484</v>
      </c>
      <c r="J34" s="5">
        <f>F34*B34</f>
        <v>9820</v>
      </c>
      <c r="K34" s="5">
        <f t="shared" si="11"/>
        <v>100</v>
      </c>
      <c r="M34" s="5">
        <v>185397</v>
      </c>
      <c r="N34" s="5">
        <v>29</v>
      </c>
      <c r="O34" s="5">
        <f>14*60+58</f>
        <v>898</v>
      </c>
      <c r="P34" s="5">
        <v>36</v>
      </c>
      <c r="Q34" s="5">
        <v>126</v>
      </c>
      <c r="R34" s="7">
        <f>AVERAGE(O34:Q34)</f>
        <v>353.33333333333331</v>
      </c>
      <c r="S34" s="5">
        <f>STDEV(O34:Q34)</f>
        <v>473.83682141992017</v>
      </c>
      <c r="T34" s="5">
        <f>S34/(SQRT(3))</f>
        <v>273.56981639874755</v>
      </c>
      <c r="U34" s="5">
        <f>MAX(O34:Q34)</f>
        <v>898</v>
      </c>
      <c r="V34" s="5">
        <f>R34*N34</f>
        <v>10246.666666666666</v>
      </c>
      <c r="W34" s="5">
        <f t="shared" si="64"/>
        <v>104.3448744059742</v>
      </c>
      <c r="X34" s="5">
        <f t="shared" si="65"/>
        <v>185.53719008264463</v>
      </c>
      <c r="Z34" s="5">
        <v>185397</v>
      </c>
      <c r="AA34" s="5">
        <v>31</v>
      </c>
      <c r="AB34" s="5">
        <v>170</v>
      </c>
      <c r="AC34" s="5">
        <v>51</v>
      </c>
      <c r="AD34" s="5">
        <v>34</v>
      </c>
      <c r="AE34" s="7">
        <f>AVERAGE(AB34:AD34)</f>
        <v>85</v>
      </c>
      <c r="AF34" s="5">
        <f>STDEV(AB34:AD34)</f>
        <v>74.10128204019145</v>
      </c>
      <c r="AG34" s="5">
        <f>AF34/(SQRT(3))</f>
        <v>42.782395133200914</v>
      </c>
      <c r="AH34" s="5">
        <f>MAX(AB34:AD34)</f>
        <v>170</v>
      </c>
      <c r="AI34" s="5">
        <f>AE34*AA34</f>
        <v>2635</v>
      </c>
      <c r="AJ34" s="5">
        <f t="shared" si="66"/>
        <v>26.832993890020369</v>
      </c>
      <c r="AK34" s="5">
        <f t="shared" si="67"/>
        <v>35.123966942148762</v>
      </c>
      <c r="AM34" s="5">
        <v>185397</v>
      </c>
      <c r="AN34" s="5">
        <v>33</v>
      </c>
      <c r="AO34" s="5">
        <v>430</v>
      </c>
      <c r="AP34" s="5">
        <v>20</v>
      </c>
      <c r="AQ34" s="5">
        <v>23</v>
      </c>
      <c r="AR34" s="7">
        <f t="shared" si="85"/>
        <v>157.66666666666666</v>
      </c>
      <c r="AS34" s="5">
        <f t="shared" si="86"/>
        <v>235.85235494548985</v>
      </c>
      <c r="AT34" s="5">
        <f t="shared" ref="AT34:AT36" si="90">AS34/(SQRT(4))</f>
        <v>117.92617747274493</v>
      </c>
      <c r="AU34" s="5">
        <v>430</v>
      </c>
      <c r="AV34" s="5">
        <f t="shared" ref="AV34:AV36" si="91">AU34*AN34</f>
        <v>14190</v>
      </c>
      <c r="AX34" s="5">
        <f t="shared" si="68"/>
        <v>144.50101832993889</v>
      </c>
      <c r="AZ34" s="5">
        <f t="shared" si="69"/>
        <v>88.84297520661157</v>
      </c>
    </row>
    <row r="35" spans="1:52" s="5" customFormat="1">
      <c r="A35" s="5">
        <v>185766</v>
      </c>
      <c r="B35" s="5">
        <v>32</v>
      </c>
      <c r="C35" s="5">
        <f>7*60+43</f>
        <v>463</v>
      </c>
      <c r="D35" s="5">
        <v>151</v>
      </c>
      <c r="E35" s="5">
        <v>125</v>
      </c>
      <c r="F35" s="7">
        <f t="shared" ref="F35:F36" si="92">AVERAGE(C35:E35)</f>
        <v>246.33333333333334</v>
      </c>
      <c r="G35" s="5">
        <f t="shared" ref="G35:G36" si="93">STDEV(C35:E35)</f>
        <v>188.08863158982609</v>
      </c>
      <c r="H35" s="5">
        <f t="shared" ref="H35:H36" si="94">G35/(SQRT(3))</f>
        <v>108.59302207989445</v>
      </c>
      <c r="I35" s="5">
        <f t="shared" ref="I35:I36" si="95">MAX(C35:E35)</f>
        <v>463</v>
      </c>
      <c r="J35" s="5">
        <f t="shared" ref="J35:J36" si="96">F35*B35</f>
        <v>7882.666666666667</v>
      </c>
      <c r="K35" s="5">
        <f t="shared" si="11"/>
        <v>100</v>
      </c>
      <c r="M35" s="5">
        <v>185766</v>
      </c>
      <c r="N35" s="5">
        <v>33</v>
      </c>
      <c r="O35" s="5">
        <f>9*60+8</f>
        <v>548</v>
      </c>
      <c r="P35" s="5">
        <v>35</v>
      </c>
      <c r="Q35" s="5">
        <v>15</v>
      </c>
      <c r="R35" s="7">
        <f t="shared" ref="R35:R36" si="97">AVERAGE(O35:Q35)</f>
        <v>199.33333333333334</v>
      </c>
      <c r="S35" s="5">
        <f t="shared" ref="S35:S36" si="98">STDEV(O35:Q35)</f>
        <v>302.11973343913394</v>
      </c>
      <c r="T35" s="5">
        <f t="shared" ref="T35:T36" si="99">S35/(SQRT(3))</f>
        <v>174.42890942858196</v>
      </c>
      <c r="U35" s="5">
        <f t="shared" ref="U35:U36" si="100">MAX(O35:Q35)</f>
        <v>548</v>
      </c>
      <c r="V35" s="5">
        <f t="shared" ref="V35:V36" si="101">R35*N35</f>
        <v>6578</v>
      </c>
      <c r="W35" s="5">
        <f t="shared" si="64"/>
        <v>83.448917456021647</v>
      </c>
      <c r="X35" s="5">
        <f t="shared" si="65"/>
        <v>118.35853131749461</v>
      </c>
      <c r="Z35" s="5">
        <v>185766</v>
      </c>
      <c r="AA35" s="5">
        <v>35</v>
      </c>
      <c r="AB35" s="5">
        <v>150</v>
      </c>
      <c r="AC35" s="5">
        <v>35</v>
      </c>
      <c r="AD35" s="5">
        <v>18</v>
      </c>
      <c r="AE35" s="7">
        <f t="shared" ref="AE35:AE36" si="102">AVERAGE(AB35:AD35)</f>
        <v>67.666666666666671</v>
      </c>
      <c r="AF35" s="5">
        <f t="shared" ref="AF35:AF36" si="103">STDEV(AB35:AD35)</f>
        <v>71.807613338234077</v>
      </c>
      <c r="AG35" s="5">
        <f t="shared" ref="AG35:AG36" si="104">AF35/(SQRT(3))</f>
        <v>41.458144890694008</v>
      </c>
      <c r="AH35" s="5">
        <f t="shared" ref="AH35:AH36" si="105">MAX(AB35:AD35)</f>
        <v>150</v>
      </c>
      <c r="AI35" s="5">
        <f t="shared" ref="AI35:AI36" si="106">AE35*AA35</f>
        <v>2368.3333333333335</v>
      </c>
      <c r="AJ35" s="5">
        <f t="shared" si="66"/>
        <v>30.044824086603516</v>
      </c>
      <c r="AK35" s="5">
        <f t="shared" si="67"/>
        <v>32.397408207343418</v>
      </c>
      <c r="AM35" s="5">
        <v>185766</v>
      </c>
      <c r="AN35" s="5">
        <v>36</v>
      </c>
      <c r="AO35" s="5">
        <v>98</v>
      </c>
      <c r="AP35" s="5">
        <v>6</v>
      </c>
      <c r="AQ35" s="5">
        <v>8</v>
      </c>
      <c r="AR35" s="7">
        <f t="shared" si="85"/>
        <v>37.333333333333336</v>
      </c>
      <c r="AS35" s="5">
        <f t="shared" si="86"/>
        <v>52.548390397169477</v>
      </c>
      <c r="AT35" s="5">
        <f t="shared" si="90"/>
        <v>26.274195198584739</v>
      </c>
      <c r="AU35" s="5">
        <v>98</v>
      </c>
      <c r="AV35" s="5">
        <f t="shared" si="91"/>
        <v>3528</v>
      </c>
      <c r="AX35" s="5">
        <f t="shared" si="68"/>
        <v>44.756427604871448</v>
      </c>
      <c r="AZ35" s="5">
        <f t="shared" si="69"/>
        <v>21.166306695464364</v>
      </c>
    </row>
    <row r="36" spans="1:52" s="5" customFormat="1">
      <c r="A36" s="5">
        <v>185773</v>
      </c>
      <c r="B36" s="5">
        <v>32</v>
      </c>
      <c r="C36" s="5">
        <f>8*60+20</f>
        <v>500</v>
      </c>
      <c r="D36" s="5">
        <v>107</v>
      </c>
      <c r="E36" s="5">
        <v>149</v>
      </c>
      <c r="F36" s="7">
        <f t="shared" si="92"/>
        <v>252</v>
      </c>
      <c r="G36" s="5">
        <f t="shared" si="93"/>
        <v>215.79851714041041</v>
      </c>
      <c r="H36" s="5">
        <f t="shared" si="94"/>
        <v>124.59133196173802</v>
      </c>
      <c r="I36" s="5">
        <f t="shared" si="95"/>
        <v>500</v>
      </c>
      <c r="J36" s="5">
        <f t="shared" si="96"/>
        <v>8064</v>
      </c>
      <c r="K36" s="5">
        <f t="shared" si="11"/>
        <v>100</v>
      </c>
      <c r="M36" s="5">
        <v>185773</v>
      </c>
      <c r="N36" s="5">
        <v>33</v>
      </c>
      <c r="O36" s="5">
        <v>118</v>
      </c>
      <c r="P36" s="5">
        <v>69</v>
      </c>
      <c r="Q36" s="5">
        <v>6</v>
      </c>
      <c r="R36" s="7">
        <f t="shared" si="97"/>
        <v>64.333333333333329</v>
      </c>
      <c r="S36" s="5">
        <f t="shared" si="98"/>
        <v>56.145643939074496</v>
      </c>
      <c r="T36" s="5">
        <f t="shared" si="99"/>
        <v>32.415702642049546</v>
      </c>
      <c r="U36" s="5">
        <f t="shared" si="100"/>
        <v>118</v>
      </c>
      <c r="V36" s="5">
        <f t="shared" si="101"/>
        <v>2123</v>
      </c>
      <c r="W36" s="5">
        <f t="shared" si="64"/>
        <v>26.326884920634917</v>
      </c>
      <c r="X36" s="5">
        <f t="shared" si="65"/>
        <v>23.599999999999998</v>
      </c>
      <c r="Z36" s="5">
        <v>185773</v>
      </c>
      <c r="AA36" s="5">
        <v>36</v>
      </c>
      <c r="AB36" s="5">
        <v>159</v>
      </c>
      <c r="AC36" s="5">
        <v>18</v>
      </c>
      <c r="AD36" s="5">
        <v>6</v>
      </c>
      <c r="AE36" s="7">
        <f t="shared" si="102"/>
        <v>61</v>
      </c>
      <c r="AF36" s="5">
        <f t="shared" si="103"/>
        <v>85.082313085623142</v>
      </c>
      <c r="AG36" s="5">
        <f t="shared" si="104"/>
        <v>49.122296363260546</v>
      </c>
      <c r="AH36" s="5">
        <f t="shared" si="105"/>
        <v>159</v>
      </c>
      <c r="AI36" s="5">
        <f t="shared" si="106"/>
        <v>2196</v>
      </c>
      <c r="AJ36" s="5">
        <f t="shared" si="66"/>
        <v>27.232142857142854</v>
      </c>
      <c r="AK36" s="5">
        <f t="shared" si="67"/>
        <v>31.8</v>
      </c>
      <c r="AM36" s="5">
        <v>185773</v>
      </c>
      <c r="AN36" s="5">
        <v>37</v>
      </c>
      <c r="AO36" s="5">
        <v>149</v>
      </c>
      <c r="AP36" s="5">
        <v>11</v>
      </c>
      <c r="AQ36" s="5">
        <v>9</v>
      </c>
      <c r="AR36" s="7">
        <f t="shared" si="85"/>
        <v>56.333333333333336</v>
      </c>
      <c r="AS36" s="5">
        <f t="shared" si="86"/>
        <v>80.257917574114344</v>
      </c>
      <c r="AT36" s="5">
        <f t="shared" si="90"/>
        <v>40.128958787057172</v>
      </c>
      <c r="AU36" s="5">
        <v>149</v>
      </c>
      <c r="AV36" s="5">
        <f t="shared" si="91"/>
        <v>5513</v>
      </c>
      <c r="AX36" s="5">
        <f t="shared" si="68"/>
        <v>68.365575396825392</v>
      </c>
      <c r="AZ36" s="5">
        <f t="shared" si="69"/>
        <v>29.799999999999997</v>
      </c>
    </row>
    <row r="37" spans="1:52">
      <c r="A37" s="4" t="s">
        <v>14</v>
      </c>
      <c r="B37" s="13">
        <f>AVERAGE(B29:B36)</f>
        <v>32.25</v>
      </c>
      <c r="C37" s="12"/>
      <c r="D37" s="12"/>
      <c r="F37" s="13">
        <f>AVERAGE(F29:F36)</f>
        <v>171.79166666666666</v>
      </c>
      <c r="J37" s="4">
        <f>F37*B37</f>
        <v>5540.28125</v>
      </c>
      <c r="K37" s="5"/>
      <c r="M37" s="4" t="s">
        <v>14</v>
      </c>
      <c r="N37" s="13">
        <f>AVERAGE(N29:N36)</f>
        <v>33</v>
      </c>
      <c r="O37" s="12"/>
      <c r="P37" s="12"/>
      <c r="R37" s="13">
        <f>AVERAGE(R29:R36)</f>
        <v>234.08333333333331</v>
      </c>
      <c r="V37" s="4">
        <f t="shared" si="79"/>
        <v>7724.7499999999991</v>
      </c>
      <c r="W37" s="5">
        <f>AVERAGE(W29:W36)</f>
        <v>191.52135137618913</v>
      </c>
      <c r="X37" s="5">
        <f>AVERAGE(X29:X36)</f>
        <v>245.02926038579915</v>
      </c>
      <c r="Z37" s="4" t="s">
        <v>14</v>
      </c>
      <c r="AA37" s="13">
        <f>AVERAGE(AA29:AA36)</f>
        <v>33.875</v>
      </c>
      <c r="AB37" s="12"/>
      <c r="AC37" s="12"/>
      <c r="AE37" s="13">
        <f>AVERAGE(AE29:AE36)</f>
        <v>187.20833333333334</v>
      </c>
      <c r="AI37" s="4">
        <f t="shared" si="84"/>
        <v>6341.682291666667</v>
      </c>
      <c r="AJ37" s="5">
        <f>AVERAGE(AJ29:AJ36)</f>
        <v>383.48619854495075</v>
      </c>
      <c r="AK37" s="5">
        <f>AVERAGE(AK29:AK36)</f>
        <v>491.72333722284429</v>
      </c>
      <c r="AM37" s="4" t="s">
        <v>14</v>
      </c>
      <c r="AN37" s="13">
        <f>AVERAGE(AN29:AN36)</f>
        <v>34.5</v>
      </c>
      <c r="AO37" s="12"/>
      <c r="AP37" s="12"/>
      <c r="AR37" s="13">
        <f>AVERAGE(AR29:AR36)</f>
        <v>112.33333333333333</v>
      </c>
      <c r="AV37" s="4">
        <f t="shared" si="89"/>
        <v>3875.5</v>
      </c>
      <c r="AX37" s="5">
        <f>AVERAGE(AX29:AX36)</f>
        <v>209.7351356897214</v>
      </c>
      <c r="AZ37" s="5">
        <f>AVERAGE(AZ29:AZ36)</f>
        <v>229.21532967731059</v>
      </c>
    </row>
    <row r="38" spans="1:52">
      <c r="A38" s="7"/>
      <c r="C38" s="7"/>
      <c r="D38" s="7"/>
      <c r="F38" s="13"/>
      <c r="K38" s="5"/>
      <c r="M38" s="7"/>
      <c r="O38" s="7"/>
      <c r="P38" s="7"/>
      <c r="R38" s="13"/>
      <c r="V38" s="13"/>
      <c r="W38" s="5">
        <f>STDEV(W29:W36)</f>
        <v>131.17282140831603</v>
      </c>
      <c r="X38" s="5">
        <f>STDEV(X29:X36)</f>
        <v>128.54055428560528</v>
      </c>
      <c r="Z38" s="7"/>
      <c r="AE38" s="13"/>
      <c r="AI38" s="13"/>
      <c r="AJ38" s="5">
        <f>STDEV(AJ29:AJ36)</f>
        <v>411.95742260586019</v>
      </c>
      <c r="AK38" s="5">
        <f>STDEV(AK29:AK36)</f>
        <v>497.70779575396983</v>
      </c>
      <c r="AM38" s="7"/>
      <c r="AR38" s="13"/>
      <c r="AV38" s="13"/>
      <c r="AX38" s="5">
        <f>STDEV(AX29:AX36)</f>
        <v>188.37523282177798</v>
      </c>
      <c r="AZ38" s="5">
        <f>STDEV(AZ29:AZ36)</f>
        <v>233.22734172694689</v>
      </c>
    </row>
    <row r="39" spans="1:52">
      <c r="K39" s="5"/>
      <c r="W39" s="5">
        <f>W38/2.82</f>
        <v>46.51518489656597</v>
      </c>
      <c r="X39" s="5">
        <f>X38/2.82</f>
        <v>45.581756838867122</v>
      </c>
      <c r="AJ39" s="5">
        <f>AJ38/2.82</f>
        <v>146.0841924134256</v>
      </c>
      <c r="AK39" s="5">
        <f>AK38/2.82</f>
        <v>176.49212615389001</v>
      </c>
      <c r="AX39" s="5">
        <f>AX38/2.82</f>
        <v>66.799727950985101</v>
      </c>
      <c r="AZ39" s="5">
        <f>AZ38/2.82</f>
        <v>82.704731108846417</v>
      </c>
    </row>
    <row r="40" spans="1:52">
      <c r="B40" s="16" t="s">
        <v>1</v>
      </c>
      <c r="C40" s="16"/>
      <c r="D40" s="16"/>
      <c r="E40" s="16"/>
      <c r="K40" s="5"/>
      <c r="N40" s="16" t="s">
        <v>2</v>
      </c>
      <c r="O40" s="16"/>
      <c r="P40" s="16"/>
      <c r="Q40" s="16"/>
      <c r="AA40" s="16" t="s">
        <v>3</v>
      </c>
      <c r="AB40" s="16"/>
      <c r="AC40" s="16"/>
      <c r="AD40" s="16"/>
      <c r="AN40" s="16" t="s">
        <v>4</v>
      </c>
      <c r="AO40" s="16"/>
      <c r="AP40" s="16"/>
      <c r="AQ40" s="16"/>
      <c r="AX40" s="5"/>
      <c r="AZ40" s="5"/>
    </row>
    <row r="41" spans="1:52">
      <c r="A41" s="4" t="s">
        <v>7</v>
      </c>
      <c r="B41" s="4" t="s">
        <v>10</v>
      </c>
      <c r="C41" s="4">
        <v>1</v>
      </c>
      <c r="D41" s="4">
        <v>2</v>
      </c>
      <c r="E41" s="4">
        <v>3</v>
      </c>
      <c r="F41" s="4" t="s">
        <v>14</v>
      </c>
      <c r="G41" s="4" t="s">
        <v>15</v>
      </c>
      <c r="H41" s="4" t="s">
        <v>16</v>
      </c>
      <c r="I41" s="4" t="s">
        <v>17</v>
      </c>
      <c r="J41" s="4" t="s">
        <v>18</v>
      </c>
      <c r="K41" s="5"/>
      <c r="M41" s="4" t="s">
        <v>7</v>
      </c>
      <c r="N41" s="4" t="s">
        <v>10</v>
      </c>
      <c r="O41" s="4">
        <v>1</v>
      </c>
      <c r="P41" s="4">
        <v>2</v>
      </c>
      <c r="Q41" s="4">
        <v>3</v>
      </c>
      <c r="R41" s="4" t="s">
        <v>14</v>
      </c>
      <c r="S41" s="4" t="s">
        <v>15</v>
      </c>
      <c r="T41" s="4" t="s">
        <v>16</v>
      </c>
      <c r="U41" s="4" t="s">
        <v>17</v>
      </c>
      <c r="V41" s="4" t="s">
        <v>18</v>
      </c>
      <c r="Z41" s="4" t="s">
        <v>7</v>
      </c>
      <c r="AA41" s="4" t="s">
        <v>10</v>
      </c>
      <c r="AB41" s="4">
        <v>1</v>
      </c>
      <c r="AC41" s="4">
        <v>2</v>
      </c>
      <c r="AD41" s="4">
        <v>3</v>
      </c>
      <c r="AE41" s="4" t="s">
        <v>14</v>
      </c>
      <c r="AF41" s="4" t="s">
        <v>15</v>
      </c>
      <c r="AG41" s="4" t="s">
        <v>16</v>
      </c>
      <c r="AH41" s="4" t="s">
        <v>17</v>
      </c>
      <c r="AI41" s="4" t="s">
        <v>18</v>
      </c>
      <c r="AM41" s="4" t="s">
        <v>7</v>
      </c>
      <c r="AN41" s="4" t="s">
        <v>10</v>
      </c>
      <c r="AO41" s="4">
        <v>1</v>
      </c>
      <c r="AP41" s="4">
        <v>2</v>
      </c>
      <c r="AQ41" s="4">
        <v>3</v>
      </c>
      <c r="AR41" s="4" t="s">
        <v>14</v>
      </c>
      <c r="AS41" s="4" t="s">
        <v>15</v>
      </c>
      <c r="AT41" s="4" t="s">
        <v>16</v>
      </c>
      <c r="AU41" s="4" t="s">
        <v>17</v>
      </c>
      <c r="AV41" s="4" t="s">
        <v>18</v>
      </c>
      <c r="AX41" s="5"/>
      <c r="AZ41" s="5"/>
    </row>
    <row r="42" spans="1:52">
      <c r="A42" s="7">
        <v>177594</v>
      </c>
      <c r="B42" s="4">
        <v>29</v>
      </c>
      <c r="C42" s="7">
        <v>15</v>
      </c>
      <c r="D42" s="7">
        <v>267</v>
      </c>
      <c r="E42" s="7">
        <v>21</v>
      </c>
      <c r="F42" s="12">
        <f>AVERAGE(C42:E42)</f>
        <v>101</v>
      </c>
      <c r="G42" s="4">
        <f>STDEV(C42:E42)</f>
        <v>143.79151574414954</v>
      </c>
      <c r="H42" s="4">
        <f>G42/(SQRT(6))</f>
        <v>58.702640485756696</v>
      </c>
      <c r="I42" s="4">
        <f>MAX(C42:E42)</f>
        <v>267</v>
      </c>
      <c r="J42" s="4">
        <f>F42*B42</f>
        <v>2929</v>
      </c>
      <c r="K42" s="5">
        <f t="shared" si="11"/>
        <v>100</v>
      </c>
      <c r="M42" s="7">
        <v>177594</v>
      </c>
      <c r="N42" s="4">
        <v>31</v>
      </c>
      <c r="O42" s="7">
        <v>323</v>
      </c>
      <c r="P42" s="7">
        <v>19</v>
      </c>
      <c r="Q42" s="7">
        <v>12</v>
      </c>
      <c r="R42" s="12">
        <f>AVERAGE(O42:Q42)</f>
        <v>118</v>
      </c>
      <c r="S42" s="4">
        <f>STDEV(O42:Q42)</f>
        <v>177.56970462328309</v>
      </c>
      <c r="T42" s="4">
        <f>S42/(SQRT(6))</f>
        <v>72.492528350628433</v>
      </c>
      <c r="U42" s="4">
        <f>MAX(O42:Q42)</f>
        <v>323</v>
      </c>
      <c r="V42" s="4">
        <f>R42*N42</f>
        <v>3658</v>
      </c>
      <c r="W42" s="5">
        <f t="shared" ref="W42:W49" si="107">V42/J42*100</f>
        <v>124.88904062820075</v>
      </c>
      <c r="X42" s="5">
        <f t="shared" ref="X42:X49" si="108">U42/I42*100</f>
        <v>120.97378277153558</v>
      </c>
      <c r="Z42" s="7">
        <v>177594</v>
      </c>
      <c r="AA42" s="4">
        <v>32</v>
      </c>
      <c r="AB42" s="4">
        <v>455</v>
      </c>
      <c r="AC42" s="4">
        <v>51</v>
      </c>
      <c r="AD42" s="4">
        <v>14</v>
      </c>
      <c r="AE42" s="12">
        <f>AVERAGE(AB42:AD42)</f>
        <v>173.33333333333334</v>
      </c>
      <c r="AF42" s="4">
        <f>STDEV(AB42:AD42)</f>
        <v>244.63101465949353</v>
      </c>
      <c r="AG42" s="4">
        <f>AF42/(SQRT(6))</f>
        <v>99.870193529178451</v>
      </c>
      <c r="AH42" s="4">
        <f>MAX(AB42:AD42)</f>
        <v>455</v>
      </c>
      <c r="AI42" s="4">
        <f>AE42*AA42</f>
        <v>5546.666666666667</v>
      </c>
      <c r="AJ42" s="5">
        <f t="shared" ref="AJ42:AJ49" si="109">AI42/J42*100</f>
        <v>189.37066120405146</v>
      </c>
      <c r="AK42" s="5">
        <f t="shared" ref="AK42:AK49" si="110">AH42/I42*100</f>
        <v>170.4119850187266</v>
      </c>
      <c r="AM42" s="7">
        <v>177594</v>
      </c>
      <c r="AN42" s="4">
        <v>32</v>
      </c>
      <c r="AO42" s="4">
        <f>2*60+40</f>
        <v>160</v>
      </c>
      <c r="AP42" s="4">
        <v>8</v>
      </c>
      <c r="AQ42" s="4">
        <v>2</v>
      </c>
      <c r="AR42" s="12">
        <f>AVERAGE(AO42:AQ42)</f>
        <v>56.666666666666664</v>
      </c>
      <c r="AS42" s="4">
        <f>STDEV(AO42:AQ42)</f>
        <v>89.539562950314505</v>
      </c>
      <c r="AT42" s="4">
        <f>AS42/(SQRT(6))</f>
        <v>36.55437350334735</v>
      </c>
      <c r="AU42" s="4">
        <f>MAX(AO42:AQ42)</f>
        <v>160</v>
      </c>
      <c r="AV42" s="4">
        <f>AR42*AN42</f>
        <v>1813.3333333333333</v>
      </c>
      <c r="AX42" s="5">
        <f t="shared" ref="AX42:AX49" si="111">AV42/J42*100</f>
        <v>61.909639239786038</v>
      </c>
      <c r="AZ42" s="5">
        <f t="shared" ref="AZ42:AZ49" si="112">AU42/I42*100</f>
        <v>59.925093632958806</v>
      </c>
    </row>
    <row r="43" spans="1:52">
      <c r="A43" s="7">
        <v>177595</v>
      </c>
      <c r="B43" s="4">
        <v>35</v>
      </c>
      <c r="C43" s="7">
        <v>213</v>
      </c>
      <c r="D43" s="7">
        <v>89</v>
      </c>
      <c r="E43" s="7">
        <v>30</v>
      </c>
      <c r="F43" s="12">
        <f t="shared" ref="F43:F46" si="113">AVERAGE(C43:E43)</f>
        <v>110.66666666666667</v>
      </c>
      <c r="G43" s="4">
        <f t="shared" ref="G43:G47" si="114">STDEV(C43:E43)</f>
        <v>93.404139808326121</v>
      </c>
      <c r="H43" s="4">
        <f t="shared" ref="H43:H47" si="115">G43/(SQRT(6))</f>
        <v>38.132080398996798</v>
      </c>
      <c r="I43" s="4">
        <f t="shared" ref="I43:I47" si="116">MAX(C43:E43)</f>
        <v>213</v>
      </c>
      <c r="J43" s="4">
        <f t="shared" ref="J43:J47" si="117">F43*B43</f>
        <v>3873.3333333333335</v>
      </c>
      <c r="K43" s="5">
        <f t="shared" si="11"/>
        <v>100</v>
      </c>
      <c r="M43" s="7">
        <v>177595</v>
      </c>
      <c r="N43" s="4">
        <v>34</v>
      </c>
      <c r="O43" s="7">
        <v>72</v>
      </c>
      <c r="P43" s="7">
        <v>18</v>
      </c>
      <c r="Q43" s="7">
        <v>4</v>
      </c>
      <c r="R43" s="12">
        <f t="shared" ref="R43:R46" si="118">AVERAGE(O43:Q43)</f>
        <v>31.333333333333332</v>
      </c>
      <c r="S43" s="4">
        <f t="shared" ref="S43:S47" si="119">STDEV(O43:Q43)</f>
        <v>35.907288025320618</v>
      </c>
      <c r="T43" s="4">
        <f t="shared" ref="T43:T47" si="120">S43/(SQRT(6))</f>
        <v>14.659088951530682</v>
      </c>
      <c r="U43" s="4">
        <f t="shared" ref="U43:U47" si="121">MAX(O43:Q43)</f>
        <v>72</v>
      </c>
      <c r="V43" s="4">
        <f t="shared" ref="V43:V47" si="122">R43*N43</f>
        <v>1065.3333333333333</v>
      </c>
      <c r="W43" s="5">
        <f t="shared" si="107"/>
        <v>27.50430292598967</v>
      </c>
      <c r="X43" s="5">
        <f t="shared" si="108"/>
        <v>33.802816901408448</v>
      </c>
      <c r="Z43" s="7">
        <v>177595</v>
      </c>
      <c r="AA43" s="4">
        <v>33</v>
      </c>
      <c r="AB43" s="4">
        <v>209</v>
      </c>
      <c r="AC43" s="4">
        <v>19</v>
      </c>
      <c r="AD43" s="4">
        <v>15</v>
      </c>
      <c r="AE43" s="12">
        <f t="shared" ref="AE43:AE46" si="123">AVERAGE(AB43:AD43)</f>
        <v>81</v>
      </c>
      <c r="AF43" s="4">
        <f t="shared" ref="AF43:AF47" si="124">STDEV(AB43:AD43)</f>
        <v>110.8692924122816</v>
      </c>
      <c r="AG43" s="4">
        <f t="shared" ref="AG43:AG47" si="125">AF43/(SQRT(6))</f>
        <v>45.262199092252104</v>
      </c>
      <c r="AH43" s="4">
        <f t="shared" ref="AH43:AH47" si="126">MAX(AB43:AD43)</f>
        <v>209</v>
      </c>
      <c r="AI43" s="4">
        <f t="shared" ref="AI43:AI47" si="127">AE43*AA43</f>
        <v>2673</v>
      </c>
      <c r="AJ43" s="5">
        <f t="shared" si="109"/>
        <v>69.010327022375222</v>
      </c>
      <c r="AK43" s="5">
        <f t="shared" si="110"/>
        <v>98.122065727699521</v>
      </c>
      <c r="AM43" s="7">
        <v>177595</v>
      </c>
      <c r="AN43" s="4">
        <v>35</v>
      </c>
      <c r="AO43" s="4">
        <v>94</v>
      </c>
      <c r="AP43" s="4">
        <v>13</v>
      </c>
      <c r="AQ43" s="4">
        <v>5</v>
      </c>
      <c r="AR43" s="12">
        <f t="shared" ref="AR43:AR46" si="128">AVERAGE(AO43:AQ43)</f>
        <v>37.333333333333336</v>
      </c>
      <c r="AS43" s="4">
        <f t="shared" ref="AS43:AS49" si="129">STDEV(AO43:AQ43)</f>
        <v>49.237519569260733</v>
      </c>
      <c r="AT43" s="4">
        <f t="shared" ref="AT43:AT47" si="130">AS43/(SQRT(6))</f>
        <v>20.101133190831696</v>
      </c>
      <c r="AU43" s="4">
        <f t="shared" ref="AU43:AU47" si="131">MAX(AO43:AQ43)</f>
        <v>94</v>
      </c>
      <c r="AV43" s="4">
        <f t="shared" ref="AV43:AV47" si="132">AR43*AN43</f>
        <v>1306.6666666666667</v>
      </c>
      <c r="AX43" s="5">
        <f t="shared" si="111"/>
        <v>33.734939759036145</v>
      </c>
      <c r="AZ43" s="5">
        <f t="shared" si="112"/>
        <v>44.131455399061032</v>
      </c>
    </row>
    <row r="44" spans="1:52">
      <c r="A44" s="7">
        <v>175159</v>
      </c>
      <c r="B44" s="4">
        <v>34</v>
      </c>
      <c r="C44" s="7">
        <v>160</v>
      </c>
      <c r="D44" s="7">
        <v>25</v>
      </c>
      <c r="E44" s="7">
        <v>19</v>
      </c>
      <c r="F44" s="12">
        <f t="shared" si="113"/>
        <v>68</v>
      </c>
      <c r="G44" s="4">
        <f t="shared" si="114"/>
        <v>79.730797061110579</v>
      </c>
      <c r="H44" s="4">
        <f t="shared" si="115"/>
        <v>32.549961597519591</v>
      </c>
      <c r="I44" s="4">
        <f t="shared" si="116"/>
        <v>160</v>
      </c>
      <c r="J44" s="4">
        <f t="shared" si="117"/>
        <v>2312</v>
      </c>
      <c r="K44" s="5">
        <f t="shared" si="11"/>
        <v>100</v>
      </c>
      <c r="M44" s="7">
        <v>175159</v>
      </c>
      <c r="N44" s="4">
        <v>32</v>
      </c>
      <c r="O44" s="7">
        <v>254</v>
      </c>
      <c r="P44" s="7">
        <v>40</v>
      </c>
      <c r="Q44" s="7">
        <v>9</v>
      </c>
      <c r="R44" s="12">
        <f t="shared" si="118"/>
        <v>101</v>
      </c>
      <c r="S44" s="4">
        <f t="shared" si="119"/>
        <v>133.40539719216761</v>
      </c>
      <c r="T44" s="4">
        <f t="shared" si="120"/>
        <v>54.462525342355065</v>
      </c>
      <c r="U44" s="4">
        <f t="shared" si="121"/>
        <v>254</v>
      </c>
      <c r="V44" s="4">
        <f t="shared" si="122"/>
        <v>3232</v>
      </c>
      <c r="W44" s="5">
        <f t="shared" si="107"/>
        <v>139.7923875432526</v>
      </c>
      <c r="X44" s="5">
        <f t="shared" si="108"/>
        <v>158.75</v>
      </c>
      <c r="Z44" s="7">
        <v>175159</v>
      </c>
      <c r="AA44" s="4">
        <v>33</v>
      </c>
      <c r="AB44" s="4">
        <v>225</v>
      </c>
      <c r="AC44" s="4">
        <v>19</v>
      </c>
      <c r="AD44" s="4">
        <v>15</v>
      </c>
      <c r="AE44" s="12">
        <f t="shared" si="123"/>
        <v>86.333333333333329</v>
      </c>
      <c r="AF44" s="4">
        <f t="shared" si="124"/>
        <v>120.10550917145031</v>
      </c>
      <c r="AG44" s="4">
        <f t="shared" si="125"/>
        <v>49.032868794536412</v>
      </c>
      <c r="AH44" s="4">
        <f t="shared" si="126"/>
        <v>225</v>
      </c>
      <c r="AI44" s="4">
        <f t="shared" si="127"/>
        <v>2849</v>
      </c>
      <c r="AJ44" s="5">
        <f t="shared" si="109"/>
        <v>123.22664359861592</v>
      </c>
      <c r="AK44" s="5">
        <f t="shared" si="110"/>
        <v>140.625</v>
      </c>
      <c r="AM44" s="7">
        <v>175159</v>
      </c>
      <c r="AN44" s="4">
        <v>34</v>
      </c>
      <c r="AO44" s="4">
        <f>5*60+3</f>
        <v>303</v>
      </c>
      <c r="AP44" s="4">
        <v>32</v>
      </c>
      <c r="AQ44" s="4">
        <v>10</v>
      </c>
      <c r="AR44" s="12">
        <f t="shared" si="128"/>
        <v>115</v>
      </c>
      <c r="AS44" s="4">
        <f t="shared" si="129"/>
        <v>163.18394528874464</v>
      </c>
      <c r="AT44" s="4">
        <f t="shared" si="130"/>
        <v>66.619566695278564</v>
      </c>
      <c r="AU44" s="4">
        <f t="shared" si="131"/>
        <v>303</v>
      </c>
      <c r="AV44" s="4">
        <f t="shared" si="132"/>
        <v>3910</v>
      </c>
      <c r="AX44" s="5">
        <f t="shared" si="111"/>
        <v>169.11764705882354</v>
      </c>
      <c r="AZ44" s="5">
        <f t="shared" si="112"/>
        <v>189.375</v>
      </c>
    </row>
    <row r="45" spans="1:52">
      <c r="A45" s="7">
        <v>176941</v>
      </c>
      <c r="B45" s="4">
        <v>35</v>
      </c>
      <c r="C45" s="7">
        <v>59</v>
      </c>
      <c r="D45" s="7">
        <v>275</v>
      </c>
      <c r="E45" s="7">
        <v>6</v>
      </c>
      <c r="F45" s="12">
        <f t="shared" si="113"/>
        <v>113.33333333333333</v>
      </c>
      <c r="G45" s="4">
        <f t="shared" si="114"/>
        <v>142.49327469510038</v>
      </c>
      <c r="H45" s="4">
        <f t="shared" si="115"/>
        <v>58.17263579687237</v>
      </c>
      <c r="I45" s="4">
        <f t="shared" si="116"/>
        <v>275</v>
      </c>
      <c r="J45" s="4">
        <f t="shared" si="117"/>
        <v>3966.6666666666665</v>
      </c>
      <c r="K45" s="5">
        <f t="shared" si="11"/>
        <v>100</v>
      </c>
      <c r="M45" s="7">
        <v>176941</v>
      </c>
      <c r="N45" s="4">
        <v>36</v>
      </c>
      <c r="O45" s="7">
        <v>140</v>
      </c>
      <c r="P45" s="7">
        <v>15</v>
      </c>
      <c r="Q45" s="7">
        <v>2</v>
      </c>
      <c r="R45" s="12">
        <f t="shared" si="118"/>
        <v>52.333333333333336</v>
      </c>
      <c r="S45" s="4">
        <f t="shared" si="119"/>
        <v>76.199300084274611</v>
      </c>
      <c r="T45" s="4">
        <f t="shared" si="120"/>
        <v>31.108233993948005</v>
      </c>
      <c r="U45" s="4">
        <f t="shared" si="121"/>
        <v>140</v>
      </c>
      <c r="V45" s="4">
        <f t="shared" si="122"/>
        <v>1884</v>
      </c>
      <c r="W45" s="5">
        <f t="shared" si="107"/>
        <v>47.495798319327733</v>
      </c>
      <c r="X45" s="5">
        <f t="shared" si="108"/>
        <v>50.909090909090907</v>
      </c>
      <c r="Z45" s="7">
        <v>176941</v>
      </c>
      <c r="AA45" s="4">
        <v>36</v>
      </c>
      <c r="AB45" s="4">
        <v>198</v>
      </c>
      <c r="AC45" s="4">
        <v>49</v>
      </c>
      <c r="AD45" s="4">
        <v>28</v>
      </c>
      <c r="AE45" s="12">
        <f t="shared" si="123"/>
        <v>91.666666666666671</v>
      </c>
      <c r="AF45" s="4">
        <f t="shared" si="124"/>
        <v>92.684051127113207</v>
      </c>
      <c r="AG45" s="4">
        <f t="shared" si="125"/>
        <v>37.838105425909248</v>
      </c>
      <c r="AH45" s="4">
        <f t="shared" si="126"/>
        <v>198</v>
      </c>
      <c r="AI45" s="4">
        <f t="shared" si="127"/>
        <v>3300</v>
      </c>
      <c r="AJ45" s="5">
        <f t="shared" si="109"/>
        <v>83.193277310924373</v>
      </c>
      <c r="AK45" s="5">
        <f t="shared" si="110"/>
        <v>72</v>
      </c>
      <c r="AM45" s="7">
        <v>176941</v>
      </c>
      <c r="AN45" s="4">
        <v>35</v>
      </c>
      <c r="AO45" s="4">
        <f>2*60+20</f>
        <v>140</v>
      </c>
      <c r="AP45" s="4">
        <v>64</v>
      </c>
      <c r="AQ45" s="4">
        <v>40</v>
      </c>
      <c r="AR45" s="12">
        <f t="shared" si="128"/>
        <v>81.333333333333329</v>
      </c>
      <c r="AS45" s="4">
        <f t="shared" si="129"/>
        <v>52.204725201205051</v>
      </c>
      <c r="AT45" s="4">
        <f t="shared" si="130"/>
        <v>21.312489817527712</v>
      </c>
      <c r="AU45" s="4">
        <f t="shared" si="131"/>
        <v>140</v>
      </c>
      <c r="AV45" s="4">
        <f t="shared" si="132"/>
        <v>2846.6666666666665</v>
      </c>
      <c r="AX45" s="5">
        <f t="shared" si="111"/>
        <v>71.764705882352942</v>
      </c>
      <c r="AZ45" s="5">
        <f t="shared" si="112"/>
        <v>50.909090909090907</v>
      </c>
    </row>
    <row r="46" spans="1:52">
      <c r="A46" s="7">
        <v>176964</v>
      </c>
      <c r="B46" s="4">
        <v>29</v>
      </c>
      <c r="C46" s="7">
        <v>103</v>
      </c>
      <c r="D46" s="7">
        <v>27</v>
      </c>
      <c r="E46" s="7">
        <v>53</v>
      </c>
      <c r="F46" s="12">
        <f t="shared" si="113"/>
        <v>61</v>
      </c>
      <c r="G46" s="4">
        <f t="shared" si="114"/>
        <v>38.626415831655933</v>
      </c>
      <c r="H46" s="4">
        <f t="shared" si="115"/>
        <v>15.769168230019829</v>
      </c>
      <c r="I46" s="4">
        <f t="shared" si="116"/>
        <v>103</v>
      </c>
      <c r="J46" s="4">
        <f t="shared" si="117"/>
        <v>1769</v>
      </c>
      <c r="K46" s="5">
        <f t="shared" si="11"/>
        <v>100</v>
      </c>
      <c r="M46" s="7">
        <v>176964</v>
      </c>
      <c r="N46" s="4">
        <v>32</v>
      </c>
      <c r="O46" s="7">
        <v>779</v>
      </c>
      <c r="P46" s="7">
        <v>71</v>
      </c>
      <c r="Q46" s="7">
        <v>77</v>
      </c>
      <c r="R46" s="12">
        <f t="shared" si="118"/>
        <v>309</v>
      </c>
      <c r="S46" s="4">
        <f t="shared" si="119"/>
        <v>407.04299527199828</v>
      </c>
      <c r="T46" s="4">
        <f t="shared" si="120"/>
        <v>166.1746069650836</v>
      </c>
      <c r="U46" s="4">
        <f t="shared" si="121"/>
        <v>779</v>
      </c>
      <c r="V46" s="4">
        <f t="shared" si="122"/>
        <v>9888</v>
      </c>
      <c r="W46" s="5">
        <f t="shared" si="107"/>
        <v>558.95986433013002</v>
      </c>
      <c r="X46" s="5">
        <f t="shared" si="108"/>
        <v>756.31067961165047</v>
      </c>
      <c r="Z46" s="7">
        <v>176964</v>
      </c>
      <c r="AA46" s="4">
        <v>29</v>
      </c>
      <c r="AB46" s="4">
        <f>13*60+32</f>
        <v>812</v>
      </c>
      <c r="AC46" s="4">
        <v>35</v>
      </c>
      <c r="AD46" s="4">
        <v>120</v>
      </c>
      <c r="AE46" s="12">
        <f t="shared" si="123"/>
        <v>322.33333333333331</v>
      </c>
      <c r="AF46" s="4">
        <f t="shared" si="124"/>
        <v>426.18814311678517</v>
      </c>
      <c r="AG46" s="4">
        <f t="shared" si="125"/>
        <v>173.99058084339575</v>
      </c>
      <c r="AH46" s="4">
        <f t="shared" si="126"/>
        <v>812</v>
      </c>
      <c r="AI46" s="4">
        <f t="shared" si="127"/>
        <v>9347.6666666666661</v>
      </c>
      <c r="AJ46" s="5">
        <f t="shared" si="109"/>
        <v>528.41530054644807</v>
      </c>
      <c r="AK46" s="5">
        <f t="shared" si="110"/>
        <v>788.34951456310682</v>
      </c>
      <c r="AM46" s="7">
        <v>176964</v>
      </c>
      <c r="AN46" s="4">
        <v>31</v>
      </c>
      <c r="AO46" s="4">
        <f>4*60+34</f>
        <v>274</v>
      </c>
      <c r="AP46" s="4">
        <v>34</v>
      </c>
      <c r="AQ46" s="4">
        <v>12</v>
      </c>
      <c r="AR46" s="12">
        <f t="shared" si="128"/>
        <v>106.66666666666667</v>
      </c>
      <c r="AS46" s="4">
        <f t="shared" si="129"/>
        <v>145.33180427330191</v>
      </c>
      <c r="AT46" s="4">
        <f t="shared" si="130"/>
        <v>59.331460644604256</v>
      </c>
      <c r="AU46" s="4">
        <f t="shared" si="131"/>
        <v>274</v>
      </c>
      <c r="AV46" s="4">
        <f t="shared" si="132"/>
        <v>3306.666666666667</v>
      </c>
      <c r="AX46" s="5">
        <f t="shared" si="111"/>
        <v>186.92293197663466</v>
      </c>
      <c r="AZ46" s="5">
        <f t="shared" si="112"/>
        <v>266.01941747572818</v>
      </c>
    </row>
    <row r="47" spans="1:52">
      <c r="A47" s="7">
        <v>177569</v>
      </c>
      <c r="B47" s="4">
        <v>39</v>
      </c>
      <c r="C47" s="7">
        <v>591</v>
      </c>
      <c r="D47" s="7">
        <v>187</v>
      </c>
      <c r="E47" s="7">
        <v>77</v>
      </c>
      <c r="F47" s="12">
        <f>AVERAGE(C47:E47)</f>
        <v>285</v>
      </c>
      <c r="G47" s="4">
        <f t="shared" si="114"/>
        <v>270.65106687393643</v>
      </c>
      <c r="H47" s="4">
        <f t="shared" si="115"/>
        <v>110.49283536350522</v>
      </c>
      <c r="I47" s="4">
        <f t="shared" si="116"/>
        <v>591</v>
      </c>
      <c r="J47" s="4">
        <f t="shared" si="117"/>
        <v>11115</v>
      </c>
      <c r="K47" s="5">
        <f t="shared" si="11"/>
        <v>100</v>
      </c>
      <c r="M47" s="7">
        <v>177569</v>
      </c>
      <c r="N47" s="4">
        <v>37</v>
      </c>
      <c r="O47" s="7">
        <v>359</v>
      </c>
      <c r="P47" s="7">
        <v>37</v>
      </c>
      <c r="Q47" s="7">
        <v>52</v>
      </c>
      <c r="R47" s="12">
        <f>AVERAGE(O47:Q47)</f>
        <v>149.33333333333334</v>
      </c>
      <c r="S47" s="4">
        <f t="shared" si="119"/>
        <v>181.73148690673648</v>
      </c>
      <c r="T47" s="4">
        <f t="shared" si="120"/>
        <v>74.191568853131074</v>
      </c>
      <c r="U47" s="4">
        <f t="shared" si="121"/>
        <v>359</v>
      </c>
      <c r="V47" s="4">
        <f t="shared" si="122"/>
        <v>5525.3333333333339</v>
      </c>
      <c r="W47" s="5">
        <f t="shared" si="107"/>
        <v>49.710601289548663</v>
      </c>
      <c r="X47" s="5">
        <f t="shared" si="108"/>
        <v>60.744500846023683</v>
      </c>
      <c r="Z47" s="7">
        <v>177569</v>
      </c>
      <c r="AA47" s="4">
        <v>36</v>
      </c>
      <c r="AB47" s="4">
        <v>340</v>
      </c>
      <c r="AC47" s="4">
        <v>122</v>
      </c>
      <c r="AD47" s="4">
        <v>24</v>
      </c>
      <c r="AE47" s="12">
        <f>AVERAGE(AB47:AD47)</f>
        <v>162</v>
      </c>
      <c r="AF47" s="4">
        <f t="shared" si="124"/>
        <v>161.75289796476599</v>
      </c>
      <c r="AG47" s="4">
        <f t="shared" si="125"/>
        <v>66.035344071691384</v>
      </c>
      <c r="AH47" s="4">
        <f t="shared" si="126"/>
        <v>340</v>
      </c>
      <c r="AI47" s="4">
        <f t="shared" si="127"/>
        <v>5832</v>
      </c>
      <c r="AJ47" s="5">
        <f t="shared" si="109"/>
        <v>52.469635627530366</v>
      </c>
      <c r="AK47" s="5">
        <f t="shared" si="110"/>
        <v>57.52961082910322</v>
      </c>
      <c r="AM47" s="7">
        <v>177569</v>
      </c>
      <c r="AN47" s="4">
        <v>38</v>
      </c>
      <c r="AO47" s="4">
        <v>119</v>
      </c>
      <c r="AP47" s="4">
        <v>46</v>
      </c>
      <c r="AQ47" s="4">
        <v>54</v>
      </c>
      <c r="AR47" s="12">
        <f>AVERAGE(AO47:AQ47)</f>
        <v>73</v>
      </c>
      <c r="AS47" s="4">
        <f t="shared" si="129"/>
        <v>40.037482438335203</v>
      </c>
      <c r="AT47" s="4">
        <f t="shared" si="130"/>
        <v>16.345233759927286</v>
      </c>
      <c r="AU47" s="4">
        <f t="shared" si="131"/>
        <v>119</v>
      </c>
      <c r="AV47" s="4">
        <f t="shared" si="132"/>
        <v>2774</v>
      </c>
      <c r="AX47" s="5">
        <f t="shared" si="111"/>
        <v>24.957264957264957</v>
      </c>
      <c r="AZ47" s="5">
        <f t="shared" si="112"/>
        <v>20.135363790186126</v>
      </c>
    </row>
    <row r="48" spans="1:52" s="5" customFormat="1">
      <c r="A48" s="5">
        <v>185767</v>
      </c>
      <c r="B48" s="5">
        <v>28</v>
      </c>
      <c r="C48" s="5">
        <f>12*60+53</f>
        <v>773</v>
      </c>
      <c r="D48" s="5">
        <v>62</v>
      </c>
      <c r="E48" s="5">
        <v>49</v>
      </c>
      <c r="F48" s="7">
        <f>AVERAGE(C48:E48)</f>
        <v>294.66666666666669</v>
      </c>
      <c r="G48" s="5">
        <f>STDEV(C48:E48)</f>
        <v>414.29981092601685</v>
      </c>
      <c r="H48" s="5">
        <f>G48/(SQRT(2))</f>
        <v>292.95420575009098</v>
      </c>
      <c r="I48" s="5">
        <f>MAX(C48:E48)</f>
        <v>773</v>
      </c>
      <c r="J48" s="5">
        <f>F48*B48</f>
        <v>8250.6666666666679</v>
      </c>
      <c r="K48" s="5">
        <f t="shared" si="11"/>
        <v>100</v>
      </c>
      <c r="M48" s="5">
        <v>185767</v>
      </c>
      <c r="N48" s="5">
        <v>30</v>
      </c>
      <c r="O48" s="5">
        <f>11*60+57</f>
        <v>717</v>
      </c>
      <c r="P48" s="5">
        <v>61</v>
      </c>
      <c r="Q48" s="5">
        <f>9*60</f>
        <v>540</v>
      </c>
      <c r="R48" s="7">
        <f>AVERAGE(O48:Q48)</f>
        <v>439.33333333333331</v>
      </c>
      <c r="S48" s="5">
        <f>STDEV(O48:Q48)</f>
        <v>339.38817500516029</v>
      </c>
      <c r="T48" s="5">
        <f>S48/(SQRT(2))</f>
        <v>239.98368000067555</v>
      </c>
      <c r="U48" s="5">
        <f>MAX(O48:Q48)</f>
        <v>717</v>
      </c>
      <c r="V48" s="5">
        <f>R48*N48</f>
        <v>13180</v>
      </c>
      <c r="W48" s="5">
        <f t="shared" si="107"/>
        <v>159.74466709760827</v>
      </c>
      <c r="X48" s="5">
        <f t="shared" si="108"/>
        <v>92.755498059508412</v>
      </c>
      <c r="Z48" s="5">
        <v>185767</v>
      </c>
      <c r="AA48" s="5">
        <v>32</v>
      </c>
      <c r="AB48" s="5">
        <f>4*60+31</f>
        <v>271</v>
      </c>
      <c r="AC48" s="5">
        <v>108</v>
      </c>
      <c r="AD48" s="5">
        <v>31</v>
      </c>
      <c r="AE48" s="7">
        <f>AVERAGE(AB48:AD48)</f>
        <v>136.66666666666666</v>
      </c>
      <c r="AF48" s="5">
        <f>STDEV(AB48:AD48)</f>
        <v>122.54114955121537</v>
      </c>
      <c r="AG48" s="5">
        <f>AF48/(SQRT(2))</f>
        <v>86.649677822059232</v>
      </c>
      <c r="AH48" s="5">
        <f>MAX(AB48:AD48)</f>
        <v>271</v>
      </c>
      <c r="AI48" s="5">
        <f>AE48*AA48</f>
        <v>4373.333333333333</v>
      </c>
      <c r="AJ48" s="5">
        <f t="shared" si="109"/>
        <v>53.005817711700054</v>
      </c>
      <c r="AK48" s="5">
        <f t="shared" si="110"/>
        <v>35.058214747736095</v>
      </c>
      <c r="AM48" s="5">
        <v>185767</v>
      </c>
      <c r="AN48" s="5">
        <v>34</v>
      </c>
      <c r="AO48" s="5">
        <v>257</v>
      </c>
      <c r="AP48" s="5">
        <v>18</v>
      </c>
      <c r="AQ48" s="5">
        <v>10</v>
      </c>
      <c r="AR48" s="7">
        <f t="shared" ref="AR48:AR49" si="133">AVERAGE(AO48:AQ48)</f>
        <v>95</v>
      </c>
      <c r="AS48" s="5">
        <f t="shared" si="129"/>
        <v>140.35312607847393</v>
      </c>
      <c r="AT48" s="5">
        <f t="shared" ref="AT48:AT49" si="134">AS48/(SQRT(4))</f>
        <v>70.176563039236967</v>
      </c>
      <c r="AU48" s="5">
        <v>257</v>
      </c>
      <c r="AV48" s="5">
        <f t="shared" ref="AV48:AV49" si="135">AU48*AN48</f>
        <v>8738</v>
      </c>
      <c r="AX48" s="5">
        <f t="shared" si="111"/>
        <v>105.90659340659339</v>
      </c>
      <c r="AZ48" s="5">
        <f t="shared" si="112"/>
        <v>33.247089262613194</v>
      </c>
    </row>
    <row r="49" spans="1:52" s="5" customFormat="1">
      <c r="A49" s="5">
        <v>185774</v>
      </c>
      <c r="B49" s="5">
        <v>32</v>
      </c>
      <c r="C49" s="5">
        <f>6*60+57</f>
        <v>417</v>
      </c>
      <c r="D49" s="5">
        <v>94</v>
      </c>
      <c r="E49" s="5">
        <f>3*60+33</f>
        <v>213</v>
      </c>
      <c r="F49" s="7">
        <f>AVERAGE(C49:E49)</f>
        <v>241.33333333333334</v>
      </c>
      <c r="G49" s="5">
        <f>STDEV(C49:E49)</f>
        <v>163.35340012786182</v>
      </c>
      <c r="H49" s="5">
        <f>G49/(SQRT(2))</f>
        <v>115.50829696029052</v>
      </c>
      <c r="I49" s="5">
        <f>MAX(C49:E49)</f>
        <v>417</v>
      </c>
      <c r="J49" s="5">
        <f>F49*B49</f>
        <v>7722.666666666667</v>
      </c>
      <c r="K49" s="5">
        <f t="shared" si="11"/>
        <v>100</v>
      </c>
      <c r="M49" s="5">
        <v>185774</v>
      </c>
      <c r="N49" s="5">
        <v>33</v>
      </c>
      <c r="O49" s="5">
        <f>6*60+19</f>
        <v>379</v>
      </c>
      <c r="P49" s="5">
        <v>121</v>
      </c>
      <c r="Q49" s="5">
        <v>117</v>
      </c>
      <c r="R49" s="7">
        <f>AVERAGE(O49:Q49)</f>
        <v>205.66666666666666</v>
      </c>
      <c r="S49" s="5">
        <f>STDEV(O49:Q49)</f>
        <v>150.12439286582756</v>
      </c>
      <c r="T49" s="5">
        <f>S49/(SQRT(2))</f>
        <v>106.15397621694002</v>
      </c>
      <c r="U49" s="5">
        <f t="shared" ref="U49" si="136">MAX(O49:Q49)</f>
        <v>379</v>
      </c>
      <c r="V49" s="5">
        <f>R49*N49</f>
        <v>6787</v>
      </c>
      <c r="W49" s="5">
        <f t="shared" si="107"/>
        <v>87.88415055248619</v>
      </c>
      <c r="X49" s="5">
        <f t="shared" si="108"/>
        <v>90.887290167865714</v>
      </c>
      <c r="Z49" s="5">
        <v>185774</v>
      </c>
      <c r="AA49" s="5">
        <v>35</v>
      </c>
      <c r="AB49" s="5">
        <v>139</v>
      </c>
      <c r="AC49" s="5">
        <v>29</v>
      </c>
      <c r="AD49" s="5">
        <v>9</v>
      </c>
      <c r="AE49" s="7">
        <f>AVERAGE(AB49:AD49)</f>
        <v>59</v>
      </c>
      <c r="AF49" s="5">
        <f>STDEV(AB49:AD49)</f>
        <v>70</v>
      </c>
      <c r="AG49" s="5">
        <f>AF49/(SQRT(2))</f>
        <v>49.497474683058321</v>
      </c>
      <c r="AH49" s="5">
        <f t="shared" ref="AH49" si="137">MAX(AB49:AD49)</f>
        <v>139</v>
      </c>
      <c r="AI49" s="5">
        <f>AE49*AA49</f>
        <v>2065</v>
      </c>
      <c r="AJ49" s="5">
        <f t="shared" si="109"/>
        <v>26.739468232044199</v>
      </c>
      <c r="AK49" s="5">
        <f t="shared" si="110"/>
        <v>33.333333333333329</v>
      </c>
      <c r="AM49" s="5">
        <v>185774</v>
      </c>
      <c r="AN49" s="5">
        <v>36</v>
      </c>
      <c r="AO49" s="5">
        <v>160</v>
      </c>
      <c r="AP49" s="5">
        <v>28</v>
      </c>
      <c r="AQ49" s="5">
        <v>9</v>
      </c>
      <c r="AR49" s="7">
        <f t="shared" si="133"/>
        <v>65.666666666666671</v>
      </c>
      <c r="AS49" s="5">
        <f t="shared" si="129"/>
        <v>82.245567256438406</v>
      </c>
      <c r="AT49" s="5">
        <f t="shared" si="134"/>
        <v>41.122783628219203</v>
      </c>
      <c r="AU49" s="5">
        <v>160</v>
      </c>
      <c r="AV49" s="5">
        <f t="shared" si="135"/>
        <v>5760</v>
      </c>
      <c r="AX49" s="5">
        <f t="shared" si="111"/>
        <v>74.585635359116026</v>
      </c>
      <c r="AZ49" s="5">
        <f t="shared" si="112"/>
        <v>38.369304556354919</v>
      </c>
    </row>
    <row r="50" spans="1:52">
      <c r="A50" s="4" t="s">
        <v>14</v>
      </c>
      <c r="B50" s="13">
        <f>AVERAGE(B42:B49)</f>
        <v>32.625</v>
      </c>
      <c r="C50" s="12"/>
      <c r="D50" s="12"/>
      <c r="F50" s="13">
        <f>AVERAGE(F42:F49)</f>
        <v>159.375</v>
      </c>
      <c r="J50" s="4">
        <f>F50*B50</f>
        <v>5199.609375</v>
      </c>
      <c r="K50" s="5"/>
      <c r="M50" s="4" t="s">
        <v>14</v>
      </c>
      <c r="N50" s="13">
        <f>AVERAGE(N42:N49)</f>
        <v>33.125</v>
      </c>
      <c r="O50" s="12"/>
      <c r="P50" s="12"/>
      <c r="R50" s="13">
        <f>AVERAGE(R42:R49)</f>
        <v>175.75000000000003</v>
      </c>
      <c r="V50" s="4">
        <f>R50*N50</f>
        <v>5821.7187500000009</v>
      </c>
      <c r="W50" s="5">
        <f>AVERAGE(W42:W49)</f>
        <v>149.49760158581799</v>
      </c>
      <c r="X50" s="5">
        <f>AVERAGE(X42:X49)</f>
        <v>170.6417074083854</v>
      </c>
      <c r="Z50" s="4" t="s">
        <v>14</v>
      </c>
      <c r="AA50" s="13">
        <f>AVERAGE(AA42:AA49)</f>
        <v>33.25</v>
      </c>
      <c r="AB50" s="12"/>
      <c r="AC50" s="12"/>
      <c r="AE50" s="13">
        <f>AVERAGE(AE42:AE49)</f>
        <v>139.04166666666669</v>
      </c>
      <c r="AI50" s="4">
        <f>AE50*AA50</f>
        <v>4623.135416666667</v>
      </c>
      <c r="AJ50" s="5">
        <f>AVERAGE(AJ42:AJ49)</f>
        <v>140.67889140671119</v>
      </c>
      <c r="AK50" s="5">
        <f>AVERAGE(AK42:AK49)</f>
        <v>174.4287155274632</v>
      </c>
      <c r="AM50" s="4" t="s">
        <v>14</v>
      </c>
      <c r="AN50" s="13">
        <f>AVERAGE(AN42:AN49)</f>
        <v>34.375</v>
      </c>
      <c r="AO50" s="12"/>
      <c r="AP50" s="12"/>
      <c r="AR50" s="13">
        <f>AVERAGE(AR42:AR49)</f>
        <v>78.833333333333329</v>
      </c>
      <c r="AV50" s="4">
        <f>AR50*AN50</f>
        <v>2709.895833333333</v>
      </c>
      <c r="AX50" s="5">
        <f>AVERAGE(AX42:AX49)</f>
        <v>91.112419704950966</v>
      </c>
      <c r="AZ50" s="5">
        <f>AVERAGE(AZ42:AZ49)</f>
        <v>87.763976878249125</v>
      </c>
    </row>
    <row r="51" spans="1:52">
      <c r="A51" s="7"/>
      <c r="C51" s="7"/>
      <c r="D51" s="7"/>
      <c r="F51" s="13"/>
      <c r="K51" s="5"/>
      <c r="M51" s="7"/>
      <c r="O51" s="7"/>
      <c r="P51" s="7"/>
      <c r="R51" s="13"/>
      <c r="V51" s="13"/>
      <c r="W51" s="5">
        <f>STDEV(W42:W49)</f>
        <v>172.17288445015208</v>
      </c>
      <c r="X51" s="5">
        <f>STDEV(X42:X49)</f>
        <v>239.99454355098433</v>
      </c>
      <c r="Z51" s="7"/>
      <c r="AE51" s="13"/>
      <c r="AI51" s="13"/>
      <c r="AJ51" s="5">
        <f>STDEV(AJ42:AJ49)</f>
        <v>164.70996332542282</v>
      </c>
      <c r="AK51" s="5">
        <f>STDEV(AK42:AK49)</f>
        <v>252.80409224978141</v>
      </c>
      <c r="AM51" s="7"/>
      <c r="AR51" s="13"/>
      <c r="AV51" s="13"/>
      <c r="AX51" s="5">
        <f>STDEV(AX42:AX49)</f>
        <v>59.344379989433357</v>
      </c>
      <c r="AZ51" s="5">
        <f>STDEV(AZ42:AZ49)</f>
        <v>89.54044504382594</v>
      </c>
    </row>
    <row r="52" spans="1:52">
      <c r="K52" s="5"/>
      <c r="W52" s="5">
        <f>W51/2.82</f>
        <v>61.054214344025567</v>
      </c>
      <c r="X52" s="5">
        <f>X51/2.82</f>
        <v>85.104448067724945</v>
      </c>
      <c r="AJ52" s="5">
        <f>AJ51/2.82</f>
        <v>58.407788413270509</v>
      </c>
      <c r="AK52" s="5">
        <f>AK51/2.82</f>
        <v>89.646841223326746</v>
      </c>
      <c r="AX52" s="5">
        <f>AX51/2.82</f>
        <v>21.044106379231689</v>
      </c>
      <c r="AZ52" s="5">
        <f>AZ51/2.82</f>
        <v>31.751930866604944</v>
      </c>
    </row>
    <row r="53" spans="1:52">
      <c r="B53" s="16" t="s">
        <v>1</v>
      </c>
      <c r="C53" s="16"/>
      <c r="D53" s="16"/>
      <c r="E53" s="16"/>
      <c r="K53" s="5"/>
      <c r="N53" s="16" t="s">
        <v>2</v>
      </c>
      <c r="O53" s="16"/>
      <c r="P53" s="16"/>
      <c r="Q53" s="16"/>
      <c r="AA53" s="16" t="s">
        <v>3</v>
      </c>
      <c r="AB53" s="16"/>
      <c r="AC53" s="16"/>
      <c r="AD53" s="16"/>
      <c r="AN53" s="16" t="s">
        <v>4</v>
      </c>
      <c r="AO53" s="16"/>
      <c r="AP53" s="16"/>
      <c r="AQ53" s="16"/>
      <c r="AX53" s="5"/>
      <c r="AZ53" s="5"/>
    </row>
    <row r="54" spans="1:52">
      <c r="A54" s="4" t="s">
        <v>8</v>
      </c>
      <c r="B54" s="4" t="s">
        <v>10</v>
      </c>
      <c r="C54" s="4">
        <v>1</v>
      </c>
      <c r="D54" s="4">
        <v>2</v>
      </c>
      <c r="E54" s="4">
        <v>3</v>
      </c>
      <c r="F54" s="4" t="s">
        <v>14</v>
      </c>
      <c r="G54" s="4" t="s">
        <v>15</v>
      </c>
      <c r="H54" s="4" t="s">
        <v>16</v>
      </c>
      <c r="I54" s="4" t="s">
        <v>17</v>
      </c>
      <c r="J54" s="4" t="s">
        <v>18</v>
      </c>
      <c r="K54" s="5"/>
      <c r="M54" s="4" t="s">
        <v>8</v>
      </c>
      <c r="N54" s="4" t="s">
        <v>10</v>
      </c>
      <c r="O54" s="4">
        <v>1</v>
      </c>
      <c r="P54" s="4">
        <v>2</v>
      </c>
      <c r="Q54" s="4">
        <v>3</v>
      </c>
      <c r="R54" s="4" t="s">
        <v>14</v>
      </c>
      <c r="S54" s="4" t="s">
        <v>15</v>
      </c>
      <c r="T54" s="4" t="s">
        <v>16</v>
      </c>
      <c r="U54" s="4" t="s">
        <v>17</v>
      </c>
      <c r="V54" s="4" t="s">
        <v>18</v>
      </c>
      <c r="Z54" s="4" t="s">
        <v>8</v>
      </c>
      <c r="AA54" s="4" t="s">
        <v>10</v>
      </c>
      <c r="AB54" s="4">
        <v>1</v>
      </c>
      <c r="AC54" s="4">
        <v>2</v>
      </c>
      <c r="AD54" s="4">
        <v>3</v>
      </c>
      <c r="AE54" s="4" t="s">
        <v>14</v>
      </c>
      <c r="AF54" s="4" t="s">
        <v>15</v>
      </c>
      <c r="AG54" s="4" t="s">
        <v>16</v>
      </c>
      <c r="AH54" s="4" t="s">
        <v>17</v>
      </c>
      <c r="AI54" s="4" t="s">
        <v>18</v>
      </c>
      <c r="AM54" s="4" t="s">
        <v>8</v>
      </c>
      <c r="AN54" s="4" t="s">
        <v>10</v>
      </c>
      <c r="AO54" s="4">
        <v>1</v>
      </c>
      <c r="AP54" s="4">
        <v>2</v>
      </c>
      <c r="AQ54" s="4">
        <v>3</v>
      </c>
      <c r="AR54" s="4" t="s">
        <v>14</v>
      </c>
      <c r="AS54" s="4" t="s">
        <v>15</v>
      </c>
      <c r="AT54" s="4" t="s">
        <v>16</v>
      </c>
      <c r="AU54" s="4" t="s">
        <v>17</v>
      </c>
      <c r="AV54" s="4" t="s">
        <v>18</v>
      </c>
      <c r="AX54" s="5"/>
      <c r="AZ54" s="5"/>
    </row>
    <row r="55" spans="1:52">
      <c r="A55" s="7">
        <v>175158</v>
      </c>
      <c r="B55" s="4">
        <v>30</v>
      </c>
      <c r="C55" s="7">
        <v>8</v>
      </c>
      <c r="D55" s="7">
        <v>26</v>
      </c>
      <c r="E55" s="7">
        <v>28</v>
      </c>
      <c r="F55" s="7">
        <f>AVERAGE(C55:E55)</f>
        <v>20.666666666666668</v>
      </c>
      <c r="G55" s="4">
        <f>STDEV(C55:E55)</f>
        <v>11.015141094572206</v>
      </c>
      <c r="H55" s="4">
        <f>G55/(SQRT(5))</f>
        <v>4.9261208538429786</v>
      </c>
      <c r="I55" s="4">
        <f>MAX(C55:E55)</f>
        <v>28</v>
      </c>
      <c r="K55" s="5"/>
      <c r="M55" s="7">
        <v>175158</v>
      </c>
      <c r="N55" s="4">
        <v>31</v>
      </c>
      <c r="O55" s="7">
        <v>325</v>
      </c>
      <c r="P55" s="7">
        <v>13</v>
      </c>
      <c r="Q55" s="7">
        <v>15</v>
      </c>
      <c r="R55" s="7">
        <f>AVERAGE(O55:Q55)</f>
        <v>117.66666666666667</v>
      </c>
      <c r="S55" s="4">
        <f>STDEV(O55:Q55)</f>
        <v>179.55871834398164</v>
      </c>
      <c r="T55" s="4">
        <f>S55/(SQRT(5))</f>
        <v>80.301100033976283</v>
      </c>
      <c r="U55" s="4">
        <f>MAX(O55:Q55)</f>
        <v>325</v>
      </c>
      <c r="V55" s="4">
        <f>R55*N55</f>
        <v>3647.666666666667</v>
      </c>
      <c r="Z55" s="7">
        <v>175158</v>
      </c>
      <c r="AE55" s="7"/>
      <c r="AM55" s="7">
        <v>175158</v>
      </c>
      <c r="AR55" s="7"/>
      <c r="AX55" s="5"/>
      <c r="AZ55" s="5"/>
    </row>
    <row r="56" spans="1:52">
      <c r="A56" s="7">
        <v>176940</v>
      </c>
      <c r="B56" s="4">
        <v>32</v>
      </c>
      <c r="C56" s="7">
        <v>265</v>
      </c>
      <c r="D56" s="7">
        <v>49</v>
      </c>
      <c r="E56" s="7">
        <v>54</v>
      </c>
      <c r="F56" s="7">
        <f t="shared" ref="F56:F59" si="138">AVERAGE(C56:E56)</f>
        <v>122.66666666666667</v>
      </c>
      <c r="G56" s="4">
        <f t="shared" ref="G56:G59" si="139">STDEV(C56:E56)</f>
        <v>123.28963189714426</v>
      </c>
      <c r="H56" s="4">
        <f t="shared" ref="H56:H59" si="140">G56/(SQRT(5))</f>
        <v>55.136799568588181</v>
      </c>
      <c r="I56" s="4">
        <f t="shared" ref="I56:I59" si="141">MAX(C56:E56)</f>
        <v>265</v>
      </c>
      <c r="J56" s="4">
        <f t="shared" ref="J56:J59" si="142">F56*B56</f>
        <v>3925.3333333333335</v>
      </c>
      <c r="K56" s="5">
        <f t="shared" si="11"/>
        <v>100</v>
      </c>
      <c r="M56" s="7">
        <v>176940</v>
      </c>
      <c r="N56" s="4">
        <v>36</v>
      </c>
      <c r="O56" s="7">
        <v>372</v>
      </c>
      <c r="P56" s="7">
        <v>88</v>
      </c>
      <c r="Q56" s="7">
        <v>36</v>
      </c>
      <c r="R56" s="7">
        <f t="shared" ref="R56:R59" si="143">AVERAGE(O56:Q56)</f>
        <v>165.33333333333334</v>
      </c>
      <c r="S56" s="4">
        <f t="shared" ref="S56:S59" si="144">STDEV(O56:Q56)</f>
        <v>180.8572180846906</v>
      </c>
      <c r="T56" s="4">
        <f t="shared" ref="T56:T59" si="145">S56/(SQRT(5))</f>
        <v>80.881806771774492</v>
      </c>
      <c r="U56" s="4">
        <f t="shared" ref="U56:U59" si="146">MAX(O56:Q56)</f>
        <v>372</v>
      </c>
      <c r="V56" s="4">
        <f t="shared" ref="V56:V59" si="147">R56*N56</f>
        <v>5952</v>
      </c>
      <c r="W56" s="5">
        <f t="shared" ref="W56:W62" si="148">V56/J56*100</f>
        <v>151.63043478260869</v>
      </c>
      <c r="X56" s="5">
        <f t="shared" ref="X56:X62" si="149">U56/I56*100</f>
        <v>140.37735849056602</v>
      </c>
      <c r="Z56" s="7">
        <v>176940</v>
      </c>
      <c r="AA56" s="4">
        <v>38</v>
      </c>
      <c r="AB56" s="4">
        <v>345</v>
      </c>
      <c r="AC56" s="4">
        <v>100</v>
      </c>
      <c r="AD56" s="4">
        <v>19</v>
      </c>
      <c r="AE56" s="7">
        <f t="shared" ref="AE56:AE59" si="150">AVERAGE(AB56:AD56)</f>
        <v>154.66666666666666</v>
      </c>
      <c r="AF56" s="4">
        <f t="shared" ref="AF56:AF59" si="151">STDEV(AB56:AD56)</f>
        <v>169.73606962968518</v>
      </c>
      <c r="AG56" s="4">
        <f>AF56/(SQRT(4))</f>
        <v>84.868034814842588</v>
      </c>
      <c r="AH56" s="4">
        <f t="shared" ref="AH56:AH59" si="152">MAX(AB56:AD56)</f>
        <v>345</v>
      </c>
      <c r="AI56" s="4">
        <f t="shared" ref="AI56:AI59" si="153">AE56*AA56</f>
        <v>5877.333333333333</v>
      </c>
      <c r="AJ56" s="5">
        <f t="shared" ref="AJ56:AJ62" si="154">AI56/J56*100</f>
        <v>149.72826086956522</v>
      </c>
      <c r="AK56" s="5">
        <f t="shared" ref="AK56:AK62" si="155">AH56/I56*100</f>
        <v>130.18867924528303</v>
      </c>
      <c r="AM56" s="7">
        <v>176940</v>
      </c>
      <c r="AN56" s="4">
        <v>38</v>
      </c>
      <c r="AO56" s="4">
        <f>5*60+43</f>
        <v>343</v>
      </c>
      <c r="AP56" s="4">
        <v>92</v>
      </c>
      <c r="AQ56" s="4">
        <v>66</v>
      </c>
      <c r="AR56" s="7">
        <f t="shared" ref="AR56" si="156">AVERAGE(AO56:AQ56)</f>
        <v>167</v>
      </c>
      <c r="AS56" s="4">
        <f t="shared" ref="AS56" si="157">STDEV(AO56:AQ56)</f>
        <v>152.97385397511562</v>
      </c>
      <c r="AT56" s="4">
        <f>AS56/(SQRT(4))</f>
        <v>76.486926987557808</v>
      </c>
      <c r="AU56" s="4">
        <f t="shared" ref="AU56:AU59" si="158">MAX(AO56:AQ56)</f>
        <v>343</v>
      </c>
      <c r="AV56" s="4">
        <f t="shared" ref="AV56:AV59" si="159">AR56*AN56</f>
        <v>6346</v>
      </c>
      <c r="AX56" s="5">
        <f t="shared" ref="AX56:AX62" si="160">AV56/J56*100</f>
        <v>161.66779891304347</v>
      </c>
      <c r="AZ56" s="5">
        <f t="shared" ref="AZ56:AZ62" si="161">AU56/I56*100</f>
        <v>129.43396226415095</v>
      </c>
    </row>
    <row r="57" spans="1:52">
      <c r="A57" s="7">
        <v>176963</v>
      </c>
      <c r="B57" s="4">
        <v>32</v>
      </c>
      <c r="C57" s="7">
        <v>119</v>
      </c>
      <c r="D57" s="7">
        <v>46</v>
      </c>
      <c r="E57" s="7">
        <v>13</v>
      </c>
      <c r="F57" s="7">
        <f t="shared" si="138"/>
        <v>59.333333333333336</v>
      </c>
      <c r="G57" s="4">
        <f t="shared" si="139"/>
        <v>54.243279153581163</v>
      </c>
      <c r="H57" s="4">
        <f t="shared" si="140"/>
        <v>24.258331901980945</v>
      </c>
      <c r="I57" s="4">
        <f t="shared" si="141"/>
        <v>119</v>
      </c>
      <c r="J57" s="4">
        <f t="shared" si="142"/>
        <v>1898.6666666666667</v>
      </c>
      <c r="K57" s="5">
        <f t="shared" si="11"/>
        <v>100</v>
      </c>
      <c r="M57" s="7">
        <v>176963</v>
      </c>
      <c r="N57" s="4">
        <v>33</v>
      </c>
      <c r="O57" s="7">
        <v>75</v>
      </c>
      <c r="P57" s="7">
        <v>13</v>
      </c>
      <c r="Q57" s="7">
        <v>4</v>
      </c>
      <c r="R57" s="7">
        <f t="shared" si="143"/>
        <v>30.666666666666668</v>
      </c>
      <c r="S57" s="4">
        <f t="shared" si="144"/>
        <v>38.656607887052544</v>
      </c>
      <c r="T57" s="4">
        <f t="shared" si="145"/>
        <v>17.287760603000798</v>
      </c>
      <c r="U57" s="4">
        <f t="shared" si="146"/>
        <v>75</v>
      </c>
      <c r="V57" s="4">
        <f t="shared" si="147"/>
        <v>1012</v>
      </c>
      <c r="W57" s="5">
        <f t="shared" si="148"/>
        <v>53.300561797752813</v>
      </c>
      <c r="X57" s="5">
        <f t="shared" si="149"/>
        <v>63.02521008403361</v>
      </c>
      <c r="Z57" s="7">
        <v>176963</v>
      </c>
      <c r="AA57" s="4">
        <v>33</v>
      </c>
      <c r="AB57" s="4">
        <v>115</v>
      </c>
      <c r="AC57" s="4">
        <v>91</v>
      </c>
      <c r="AD57" s="4">
        <v>15</v>
      </c>
      <c r="AE57" s="7">
        <f t="shared" si="150"/>
        <v>73.666666666666671</v>
      </c>
      <c r="AF57" s="4">
        <f t="shared" si="151"/>
        <v>52.204725201205044</v>
      </c>
      <c r="AG57" s="4">
        <f t="shared" ref="AG57:AG59" si="162">AF57/(SQRT(4))</f>
        <v>26.102362600602522</v>
      </c>
      <c r="AH57" s="4">
        <f t="shared" si="152"/>
        <v>115</v>
      </c>
      <c r="AI57" s="4">
        <f t="shared" si="153"/>
        <v>2431</v>
      </c>
      <c r="AJ57" s="5">
        <f t="shared" si="154"/>
        <v>128.03721910112361</v>
      </c>
      <c r="AK57" s="5">
        <f t="shared" si="155"/>
        <v>96.638655462184872</v>
      </c>
      <c r="AM57" s="7">
        <v>176963</v>
      </c>
      <c r="AN57" s="4">
        <v>35</v>
      </c>
      <c r="AO57" s="4">
        <v>93</v>
      </c>
      <c r="AP57" s="4">
        <v>20</v>
      </c>
      <c r="AQ57" s="4">
        <v>5</v>
      </c>
      <c r="AR57" s="7">
        <f t="shared" ref="AR57:AR59" si="163">AVERAGE(AO57:AQ57)</f>
        <v>39.333333333333336</v>
      </c>
      <c r="AS57" s="5">
        <f t="shared" ref="AS57:AS59" si="164">STDEV(AO57:AQ57)</f>
        <v>47.077949544700154</v>
      </c>
      <c r="AT57" s="5">
        <f t="shared" ref="AT57:AT62" si="165">AS57/(SQRT(4))</f>
        <v>23.538974772350077</v>
      </c>
      <c r="AU57" s="4">
        <f t="shared" si="158"/>
        <v>93</v>
      </c>
      <c r="AV57" s="4">
        <f t="shared" si="159"/>
        <v>1376.6666666666667</v>
      </c>
      <c r="AX57" s="5">
        <f t="shared" si="160"/>
        <v>72.507022471910105</v>
      </c>
      <c r="AZ57" s="5">
        <f t="shared" si="161"/>
        <v>78.151260504201687</v>
      </c>
    </row>
    <row r="58" spans="1:52">
      <c r="A58" s="7">
        <v>177568</v>
      </c>
      <c r="B58" s="4">
        <v>31</v>
      </c>
      <c r="C58" s="7">
        <v>1706</v>
      </c>
      <c r="D58" s="7">
        <v>32</v>
      </c>
      <c r="E58" s="7">
        <v>64</v>
      </c>
      <c r="F58" s="7">
        <f t="shared" si="138"/>
        <v>600.66666666666663</v>
      </c>
      <c r="G58" s="4">
        <f t="shared" si="139"/>
        <v>957.38045380785445</v>
      </c>
      <c r="H58" s="4">
        <f t="shared" si="140"/>
        <v>428.15355500879195</v>
      </c>
      <c r="I58" s="4">
        <f t="shared" si="141"/>
        <v>1706</v>
      </c>
      <c r="J58" s="4">
        <f t="shared" si="142"/>
        <v>18620.666666666664</v>
      </c>
      <c r="K58" s="5">
        <f t="shared" si="11"/>
        <v>100</v>
      </c>
      <c r="M58" s="7">
        <v>177568</v>
      </c>
      <c r="N58" s="4">
        <v>31</v>
      </c>
      <c r="O58" s="7">
        <v>373</v>
      </c>
      <c r="P58" s="7">
        <v>24</v>
      </c>
      <c r="Q58" s="7">
        <v>26</v>
      </c>
      <c r="R58" s="7">
        <f t="shared" si="143"/>
        <v>141</v>
      </c>
      <c r="S58" s="4">
        <f t="shared" si="144"/>
        <v>200.92038224132463</v>
      </c>
      <c r="T58" s="4">
        <f t="shared" si="145"/>
        <v>89.854326551368686</v>
      </c>
      <c r="U58" s="4">
        <f t="shared" si="146"/>
        <v>373</v>
      </c>
      <c r="V58" s="4">
        <f t="shared" si="147"/>
        <v>4371</v>
      </c>
      <c r="W58" s="5">
        <f t="shared" si="148"/>
        <v>23.473917869034409</v>
      </c>
      <c r="X58" s="5">
        <f t="shared" si="149"/>
        <v>21.864009378663539</v>
      </c>
      <c r="Z58" s="7">
        <v>177568</v>
      </c>
      <c r="AA58" s="4">
        <v>32</v>
      </c>
      <c r="AB58" s="4">
        <v>423</v>
      </c>
      <c r="AC58" s="4">
        <v>71</v>
      </c>
      <c r="AD58" s="4">
        <v>25</v>
      </c>
      <c r="AE58" s="7">
        <f t="shared" si="150"/>
        <v>173</v>
      </c>
      <c r="AF58" s="4">
        <f t="shared" si="151"/>
        <v>217.72459668122019</v>
      </c>
      <c r="AG58" s="4">
        <f t="shared" si="162"/>
        <v>108.8622983406101</v>
      </c>
      <c r="AH58" s="4">
        <f t="shared" si="152"/>
        <v>423</v>
      </c>
      <c r="AI58" s="4">
        <f t="shared" si="153"/>
        <v>5536</v>
      </c>
      <c r="AJ58" s="5">
        <f t="shared" si="154"/>
        <v>29.730407074576636</v>
      </c>
      <c r="AK58" s="5">
        <f t="shared" si="155"/>
        <v>24.794841735052756</v>
      </c>
      <c r="AM58" s="7">
        <v>177568</v>
      </c>
      <c r="AN58" s="4">
        <v>32</v>
      </c>
      <c r="AO58" s="4">
        <v>107</v>
      </c>
      <c r="AP58" s="4">
        <v>25</v>
      </c>
      <c r="AQ58" s="4">
        <v>14</v>
      </c>
      <c r="AR58" s="7">
        <f t="shared" si="163"/>
        <v>48.666666666666664</v>
      </c>
      <c r="AS58" s="5">
        <f t="shared" si="164"/>
        <v>50.816663933530045</v>
      </c>
      <c r="AT58" s="5">
        <f t="shared" si="165"/>
        <v>25.408331966765022</v>
      </c>
      <c r="AU58" s="4">
        <f t="shared" si="158"/>
        <v>107</v>
      </c>
      <c r="AV58" s="4">
        <f t="shared" si="159"/>
        <v>1557.3333333333333</v>
      </c>
      <c r="AX58" s="5">
        <f t="shared" si="160"/>
        <v>8.3634671153915008</v>
      </c>
      <c r="AZ58" s="5">
        <f t="shared" si="161"/>
        <v>6.2719812426729193</v>
      </c>
    </row>
    <row r="59" spans="1:52">
      <c r="A59" s="7">
        <v>177593</v>
      </c>
      <c r="B59" s="4">
        <v>34</v>
      </c>
      <c r="C59" s="7">
        <v>320</v>
      </c>
      <c r="D59" s="7">
        <v>31</v>
      </c>
      <c r="E59" s="7">
        <v>17</v>
      </c>
      <c r="F59" s="7">
        <f t="shared" si="138"/>
        <v>122.66666666666667</v>
      </c>
      <c r="G59" s="4">
        <f t="shared" si="139"/>
        <v>171.03898191153189</v>
      </c>
      <c r="H59" s="4">
        <f t="shared" si="140"/>
        <v>76.490958071308441</v>
      </c>
      <c r="I59" s="4">
        <f t="shared" si="141"/>
        <v>320</v>
      </c>
      <c r="J59" s="4">
        <f t="shared" si="142"/>
        <v>4170.666666666667</v>
      </c>
      <c r="K59" s="5">
        <f t="shared" si="11"/>
        <v>100</v>
      </c>
      <c r="M59" s="7">
        <v>177593</v>
      </c>
      <c r="N59" s="4">
        <v>34</v>
      </c>
      <c r="O59" s="7">
        <v>440</v>
      </c>
      <c r="P59" s="7">
        <v>103</v>
      </c>
      <c r="Q59" s="7">
        <v>47</v>
      </c>
      <c r="R59" s="7">
        <f t="shared" si="143"/>
        <v>196.66666666666666</v>
      </c>
      <c r="S59" s="4">
        <f t="shared" si="144"/>
        <v>212.58488500675051</v>
      </c>
      <c r="T59" s="4">
        <f t="shared" si="145"/>
        <v>95.070850772813998</v>
      </c>
      <c r="U59" s="4">
        <f t="shared" si="146"/>
        <v>440</v>
      </c>
      <c r="V59" s="4">
        <f t="shared" si="147"/>
        <v>6686.6666666666661</v>
      </c>
      <c r="W59" s="5">
        <f t="shared" si="148"/>
        <v>160.32608695652172</v>
      </c>
      <c r="X59" s="5">
        <f t="shared" si="149"/>
        <v>137.5</v>
      </c>
      <c r="Z59" s="7">
        <v>177593</v>
      </c>
      <c r="AA59" s="4">
        <v>33</v>
      </c>
      <c r="AB59" s="4">
        <f>16*60+33</f>
        <v>993</v>
      </c>
      <c r="AC59" s="4">
        <v>43</v>
      </c>
      <c r="AD59" s="4">
        <v>25</v>
      </c>
      <c r="AE59" s="7">
        <f t="shared" si="150"/>
        <v>353.66666666666669</v>
      </c>
      <c r="AF59" s="4">
        <f t="shared" si="151"/>
        <v>553.75205041004892</v>
      </c>
      <c r="AG59" s="4">
        <f t="shared" si="162"/>
        <v>276.87602520502446</v>
      </c>
      <c r="AH59" s="4">
        <f t="shared" si="152"/>
        <v>993</v>
      </c>
      <c r="AI59" s="4">
        <f t="shared" si="153"/>
        <v>11671</v>
      </c>
      <c r="AJ59" s="5">
        <f t="shared" si="154"/>
        <v>279.83535805626599</v>
      </c>
      <c r="AK59" s="5">
        <f t="shared" si="155"/>
        <v>310.3125</v>
      </c>
      <c r="AM59" s="7">
        <v>177593</v>
      </c>
      <c r="AN59" s="4">
        <v>33</v>
      </c>
      <c r="AO59" s="4">
        <f>11*60+50</f>
        <v>710</v>
      </c>
      <c r="AP59" s="4">
        <v>20</v>
      </c>
      <c r="AQ59" s="4">
        <v>150</v>
      </c>
      <c r="AR59" s="7">
        <f t="shared" si="163"/>
        <v>293.33333333333331</v>
      </c>
      <c r="AS59" s="5">
        <f t="shared" si="164"/>
        <v>366.65151483845437</v>
      </c>
      <c r="AT59" s="5">
        <f t="shared" si="165"/>
        <v>183.32575741922719</v>
      </c>
      <c r="AU59" s="4">
        <f t="shared" si="158"/>
        <v>710</v>
      </c>
      <c r="AV59" s="4">
        <f t="shared" si="159"/>
        <v>9680</v>
      </c>
      <c r="AX59" s="5">
        <f t="shared" si="160"/>
        <v>232.09718670076725</v>
      </c>
      <c r="AZ59" s="5">
        <f t="shared" si="161"/>
        <v>221.875</v>
      </c>
    </row>
    <row r="60" spans="1:52" s="5" customFormat="1">
      <c r="A60" s="5">
        <v>185398</v>
      </c>
      <c r="B60" s="5">
        <v>36</v>
      </c>
      <c r="C60" s="5">
        <f>3*60+42</f>
        <v>222</v>
      </c>
      <c r="D60" s="5">
        <v>54</v>
      </c>
      <c r="E60" s="5">
        <v>27</v>
      </c>
      <c r="F60" s="7">
        <f>AVERAGE(C60:E60)</f>
        <v>101</v>
      </c>
      <c r="G60" s="5">
        <f>STDEV(C60:E60)</f>
        <v>105.65509926170151</v>
      </c>
      <c r="H60" s="5">
        <f>G60/(SQRT(3))</f>
        <v>61</v>
      </c>
      <c r="I60" s="5">
        <f>MAX(C60:E60)</f>
        <v>222</v>
      </c>
      <c r="J60" s="5">
        <f>F60*B60</f>
        <v>3636</v>
      </c>
      <c r="K60" s="5">
        <f t="shared" si="11"/>
        <v>100</v>
      </c>
      <c r="M60" s="5">
        <v>185398</v>
      </c>
      <c r="N60" s="5">
        <v>38</v>
      </c>
      <c r="O60" s="5">
        <v>144</v>
      </c>
      <c r="P60" s="5">
        <v>90</v>
      </c>
      <c r="Q60" s="5">
        <v>29</v>
      </c>
      <c r="R60" s="7">
        <f>AVERAGE(O60:Q60)</f>
        <v>87.666666666666671</v>
      </c>
      <c r="S60" s="5">
        <f>STDEV(O60:Q60)</f>
        <v>57.535496289971583</v>
      </c>
      <c r="T60" s="5">
        <f>S60/(SQRT(3))</f>
        <v>33.218134270973813</v>
      </c>
      <c r="U60" s="5">
        <f>MAX(O60:Q60)</f>
        <v>144</v>
      </c>
      <c r="V60" s="5">
        <f>R60*N60</f>
        <v>3331.3333333333335</v>
      </c>
      <c r="W60" s="5">
        <f t="shared" si="148"/>
        <v>91.62082874954163</v>
      </c>
      <c r="X60" s="5">
        <f t="shared" si="149"/>
        <v>64.86486486486487</v>
      </c>
      <c r="Z60" s="5">
        <v>185398</v>
      </c>
      <c r="AA60" s="5">
        <v>41</v>
      </c>
      <c r="AB60" s="5">
        <v>180</v>
      </c>
      <c r="AC60" s="5">
        <v>38</v>
      </c>
      <c r="AD60" s="5">
        <v>19</v>
      </c>
      <c r="AE60" s="7">
        <f>AVERAGE(AB60:AD60)</f>
        <v>79</v>
      </c>
      <c r="AF60" s="5">
        <f>STDEV(AB60:AD60)</f>
        <v>87.982952894296517</v>
      </c>
      <c r="AG60" s="5">
        <f>AF60/(SQRT(3))</f>
        <v>50.796981537620262</v>
      </c>
      <c r="AH60" s="5">
        <f>MAX(AB60:AD60)</f>
        <v>180</v>
      </c>
      <c r="AI60" s="5">
        <f>AE60*AA60</f>
        <v>3239</v>
      </c>
      <c r="AJ60" s="5">
        <f t="shared" si="154"/>
        <v>89.081408140814077</v>
      </c>
      <c r="AK60" s="5">
        <f t="shared" si="155"/>
        <v>81.081081081081081</v>
      </c>
      <c r="AM60" s="5">
        <v>185398</v>
      </c>
      <c r="AN60" s="5">
        <v>46</v>
      </c>
      <c r="AO60" s="5">
        <v>5</v>
      </c>
      <c r="AP60" s="5">
        <v>44</v>
      </c>
      <c r="AQ60" s="5">
        <v>5</v>
      </c>
      <c r="AR60" s="7">
        <f t="shared" ref="AR60:AR62" si="166">AVERAGE(AO60:AQ60)</f>
        <v>18</v>
      </c>
      <c r="AS60" s="5">
        <f t="shared" ref="AS60:AS62" si="167">STDEV(AO60:AQ60)</f>
        <v>22.516660498395403</v>
      </c>
      <c r="AT60" s="5">
        <f t="shared" si="165"/>
        <v>11.258330249197702</v>
      </c>
      <c r="AU60" s="5">
        <v>44</v>
      </c>
      <c r="AV60" s="5">
        <f t="shared" ref="AV60:AV62" si="168">AU60*AN60</f>
        <v>2024</v>
      </c>
      <c r="AX60" s="5">
        <f t="shared" si="160"/>
        <v>55.665566556655662</v>
      </c>
      <c r="AZ60" s="5">
        <f t="shared" si="161"/>
        <v>19.81981981981982</v>
      </c>
    </row>
    <row r="61" spans="1:52" s="5" customFormat="1">
      <c r="A61" s="5">
        <v>185399</v>
      </c>
      <c r="B61" s="5">
        <v>36</v>
      </c>
      <c r="C61" s="5">
        <v>148</v>
      </c>
      <c r="D61" s="5">
        <v>19</v>
      </c>
      <c r="E61" s="5">
        <v>33</v>
      </c>
      <c r="F61" s="7">
        <f t="shared" ref="F61:F62" si="169">AVERAGE(C61:E61)</f>
        <v>66.666666666666671</v>
      </c>
      <c r="G61" s="5">
        <f>STDEV(C61:E61)</f>
        <v>70.783708106691705</v>
      </c>
      <c r="H61" s="5">
        <f t="shared" ref="H61:H62" si="170">G61/(SQRT(3))</f>
        <v>40.866992929638357</v>
      </c>
      <c r="I61" s="5">
        <f>MAX(C61:E61)</f>
        <v>148</v>
      </c>
      <c r="J61" s="5">
        <f t="shared" ref="J61:J62" si="171">F61*B61</f>
        <v>2400</v>
      </c>
      <c r="K61" s="5">
        <f t="shared" si="11"/>
        <v>100</v>
      </c>
      <c r="M61" s="5">
        <v>185399</v>
      </c>
      <c r="N61" s="5">
        <v>38</v>
      </c>
      <c r="O61" s="5">
        <v>157</v>
      </c>
      <c r="P61" s="5">
        <v>22</v>
      </c>
      <c r="Q61" s="5">
        <v>8</v>
      </c>
      <c r="R61" s="7">
        <f t="shared" ref="R61:R62" si="172">AVERAGE(O61:Q61)</f>
        <v>62.333333333333336</v>
      </c>
      <c r="S61" s="5">
        <f t="shared" ref="S61:S62" si="173">STDEV(O61:Q61)</f>
        <v>82.282035301354412</v>
      </c>
      <c r="T61" s="5">
        <f t="shared" ref="T61:T62" si="174">S61/(SQRT(3))</f>
        <v>47.505555230707266</v>
      </c>
      <c r="U61" s="5">
        <f t="shared" ref="U61:U62" si="175">MAX(O61:Q61)</f>
        <v>157</v>
      </c>
      <c r="V61" s="5">
        <f t="shared" ref="V61:V62" si="176">R61*N61</f>
        <v>2368.666666666667</v>
      </c>
      <c r="W61" s="5">
        <f t="shared" si="148"/>
        <v>98.694444444444457</v>
      </c>
      <c r="X61" s="5">
        <f t="shared" si="149"/>
        <v>106.08108108108108</v>
      </c>
      <c r="Z61" s="5">
        <v>185399</v>
      </c>
      <c r="AA61" s="5">
        <v>43</v>
      </c>
      <c r="AB61" s="5">
        <v>73</v>
      </c>
      <c r="AC61" s="5">
        <v>27</v>
      </c>
      <c r="AD61" s="5">
        <v>9</v>
      </c>
      <c r="AE61" s="7">
        <f t="shared" ref="AE61:AE62" si="177">AVERAGE(AB61:AD61)</f>
        <v>36.333333333333336</v>
      </c>
      <c r="AF61" s="5">
        <f t="shared" ref="AF61:AF62" si="178">STDEV(AB61:AD61)</f>
        <v>33.005050118630834</v>
      </c>
      <c r="AG61" s="5">
        <f t="shared" ref="AG61:AG62" si="179">AF61/(SQRT(3))</f>
        <v>19.055474570608602</v>
      </c>
      <c r="AH61" s="5">
        <f t="shared" ref="AH61:AH62" si="180">MAX(AB61:AD61)</f>
        <v>73</v>
      </c>
      <c r="AI61" s="5">
        <f t="shared" ref="AI61:AI62" si="181">AE61*AA61</f>
        <v>1562.3333333333335</v>
      </c>
      <c r="AJ61" s="5">
        <f t="shared" si="154"/>
        <v>65.097222222222229</v>
      </c>
      <c r="AK61" s="5">
        <f t="shared" si="155"/>
        <v>49.324324324324323</v>
      </c>
      <c r="AM61" s="5">
        <v>185399</v>
      </c>
      <c r="AN61" s="5">
        <v>44</v>
      </c>
      <c r="AO61" s="5">
        <v>112</v>
      </c>
      <c r="AP61" s="5">
        <v>10</v>
      </c>
      <c r="AQ61" s="5">
        <v>5</v>
      </c>
      <c r="AR61" s="7">
        <f t="shared" si="166"/>
        <v>42.333333333333336</v>
      </c>
      <c r="AS61" s="5">
        <f t="shared" si="167"/>
        <v>60.384876693865436</v>
      </c>
      <c r="AT61" s="5">
        <f t="shared" si="165"/>
        <v>30.192438346932718</v>
      </c>
      <c r="AU61" s="5">
        <v>112</v>
      </c>
      <c r="AV61" s="5">
        <f t="shared" si="168"/>
        <v>4928</v>
      </c>
      <c r="AX61" s="5">
        <f t="shared" si="160"/>
        <v>205.33333333333331</v>
      </c>
      <c r="AZ61" s="5">
        <f t="shared" si="161"/>
        <v>75.675675675675677</v>
      </c>
    </row>
    <row r="62" spans="1:52" s="5" customFormat="1">
      <c r="A62" s="5">
        <v>185775</v>
      </c>
      <c r="B62" s="5">
        <v>34</v>
      </c>
      <c r="C62" s="5">
        <f>3*60+59</f>
        <v>239</v>
      </c>
      <c r="D62" s="5">
        <f>8*60+1</f>
        <v>481</v>
      </c>
      <c r="E62" s="5">
        <f>4*60+26</f>
        <v>266</v>
      </c>
      <c r="F62" s="7">
        <f t="shared" si="169"/>
        <v>328.66666666666669</v>
      </c>
      <c r="G62" s="5">
        <f>STDEV(C62:E62)</f>
        <v>132.61347342307772</v>
      </c>
      <c r="H62" s="5">
        <f t="shared" si="170"/>
        <v>76.564424578985211</v>
      </c>
      <c r="I62" s="5">
        <f>MAX(C62:E62)</f>
        <v>481</v>
      </c>
      <c r="J62" s="5">
        <f t="shared" si="171"/>
        <v>11174.666666666668</v>
      </c>
      <c r="K62" s="5">
        <f t="shared" si="11"/>
        <v>100</v>
      </c>
      <c r="M62" s="5">
        <v>185775</v>
      </c>
      <c r="N62" s="5">
        <v>35</v>
      </c>
      <c r="O62" s="5">
        <f>4*60+8</f>
        <v>248</v>
      </c>
      <c r="P62" s="5">
        <v>62</v>
      </c>
      <c r="Q62" s="5">
        <v>19</v>
      </c>
      <c r="R62" s="7">
        <f t="shared" si="172"/>
        <v>109.66666666666667</v>
      </c>
      <c r="S62" s="5">
        <f t="shared" si="173"/>
        <v>121.7141459869531</v>
      </c>
      <c r="T62" s="5">
        <f t="shared" si="174"/>
        <v>70.271694949752785</v>
      </c>
      <c r="U62" s="5">
        <f t="shared" si="175"/>
        <v>248</v>
      </c>
      <c r="V62" s="5">
        <f t="shared" si="176"/>
        <v>3838.3333333333335</v>
      </c>
      <c r="W62" s="5">
        <f t="shared" si="148"/>
        <v>34.348526428827107</v>
      </c>
      <c r="X62" s="5">
        <f t="shared" si="149"/>
        <v>51.559251559251564</v>
      </c>
      <c r="Z62" s="5">
        <v>185775</v>
      </c>
      <c r="AA62" s="5">
        <v>36</v>
      </c>
      <c r="AB62" s="5">
        <f>4*60+5</f>
        <v>245</v>
      </c>
      <c r="AC62" s="5">
        <v>5</v>
      </c>
      <c r="AD62" s="5">
        <v>9</v>
      </c>
      <c r="AE62" s="7">
        <f t="shared" si="177"/>
        <v>86.333333333333329</v>
      </c>
      <c r="AF62" s="5">
        <f t="shared" si="178"/>
        <v>137.42391834514592</v>
      </c>
      <c r="AG62" s="5">
        <f t="shared" si="179"/>
        <v>79.341736249663157</v>
      </c>
      <c r="AH62" s="5">
        <f t="shared" si="180"/>
        <v>245</v>
      </c>
      <c r="AI62" s="5">
        <f t="shared" si="181"/>
        <v>3108</v>
      </c>
      <c r="AJ62" s="5">
        <f t="shared" si="154"/>
        <v>27.812910153919578</v>
      </c>
      <c r="AK62" s="5">
        <f t="shared" si="155"/>
        <v>50.935550935550935</v>
      </c>
      <c r="AM62" s="5">
        <v>185775</v>
      </c>
      <c r="AN62" s="5">
        <v>36</v>
      </c>
      <c r="AO62" s="5">
        <v>157</v>
      </c>
      <c r="AP62" s="5">
        <v>23</v>
      </c>
      <c r="AQ62" s="5">
        <v>15</v>
      </c>
      <c r="AR62" s="7">
        <f t="shared" si="166"/>
        <v>65</v>
      </c>
      <c r="AS62" s="5">
        <f t="shared" si="167"/>
        <v>79.774682700716525</v>
      </c>
      <c r="AT62" s="5">
        <f t="shared" si="165"/>
        <v>39.887341350358263</v>
      </c>
      <c r="AU62" s="5">
        <v>157</v>
      </c>
      <c r="AV62" s="5">
        <f t="shared" si="168"/>
        <v>5652</v>
      </c>
      <c r="AX62" s="5">
        <f t="shared" si="160"/>
        <v>50.578689893807415</v>
      </c>
      <c r="AZ62" s="5">
        <f t="shared" si="161"/>
        <v>32.640332640332645</v>
      </c>
    </row>
    <row r="63" spans="1:52">
      <c r="A63" s="4" t="s">
        <v>14</v>
      </c>
      <c r="B63" s="13">
        <f>AVERAGE(B55:B62)</f>
        <v>33.125</v>
      </c>
      <c r="C63" s="12"/>
      <c r="D63" s="12"/>
      <c r="F63" s="13">
        <f>AVERAGE(F55:F62)</f>
        <v>177.79166666666669</v>
      </c>
      <c r="J63" s="4">
        <f>F63*B63</f>
        <v>5889.3489583333339</v>
      </c>
      <c r="K63" s="5">
        <f t="shared" si="11"/>
        <v>100</v>
      </c>
      <c r="M63" s="4" t="s">
        <v>14</v>
      </c>
      <c r="N63" s="13">
        <f>AVERAGE(N55:N62)</f>
        <v>34.5</v>
      </c>
      <c r="O63" s="12"/>
      <c r="P63" s="12"/>
      <c r="R63" s="13">
        <f>AVERAGE(R55:R62)</f>
        <v>113.875</v>
      </c>
      <c r="V63" s="4">
        <f>R63*N63</f>
        <v>3928.6875</v>
      </c>
      <c r="W63" s="5">
        <f>AVERAGE(W55:W62)</f>
        <v>87.627828718390106</v>
      </c>
      <c r="X63" s="5">
        <f>AVERAGE(X55:X62)</f>
        <v>83.610253636922948</v>
      </c>
      <c r="Z63" s="4" t="s">
        <v>14</v>
      </c>
      <c r="AA63" s="13">
        <f>AVERAGE(AA56:AA62)</f>
        <v>36.571428571428569</v>
      </c>
      <c r="AB63" s="12"/>
      <c r="AC63" s="12"/>
      <c r="AE63" s="13">
        <f>AVERAGE(AE56:AE62)</f>
        <v>136.66666666666669</v>
      </c>
      <c r="AI63" s="4">
        <f>AE63*AA63</f>
        <v>4998.0952380952385</v>
      </c>
      <c r="AJ63" s="5">
        <f>AVERAGE(AJ56:AJ62)</f>
        <v>109.90325508835534</v>
      </c>
      <c r="AK63" s="5">
        <f>AVERAGE(AK56:AK62)</f>
        <v>106.18223325478243</v>
      </c>
      <c r="AM63" s="4" t="s">
        <v>14</v>
      </c>
      <c r="AN63" s="13">
        <f>AVERAGE(AN56:AN62)</f>
        <v>37.714285714285715</v>
      </c>
      <c r="AO63" s="12"/>
      <c r="AP63" s="12"/>
      <c r="AR63" s="7">
        <f>AVERAGE(AR56:AR62)</f>
        <v>96.238095238095227</v>
      </c>
      <c r="AS63" s="5"/>
      <c r="AT63" s="5"/>
      <c r="AV63" s="4">
        <f>AVERAGE(AV56:AV59)</f>
        <v>4740</v>
      </c>
      <c r="AX63" s="5">
        <f>AVERAGE(AX56:AX62)</f>
        <v>112.31615214070123</v>
      </c>
      <c r="AZ63" s="4">
        <f>AVERAGE(AZ56:AZ62)</f>
        <v>80.552576020979103</v>
      </c>
    </row>
    <row r="64" spans="1:52">
      <c r="A64" s="7"/>
      <c r="C64" s="7"/>
      <c r="D64" s="7"/>
      <c r="F64" s="13"/>
      <c r="M64" s="7"/>
      <c r="O64" s="7"/>
      <c r="P64" s="7"/>
      <c r="R64" s="13"/>
      <c r="V64" s="13"/>
      <c r="W64" s="13">
        <f>STDEV(W55:W62)</f>
        <v>54.241057559006833</v>
      </c>
      <c r="X64" s="13">
        <f>STDEV(X55:X62)</f>
        <v>45.178435259608648</v>
      </c>
      <c r="Z64" s="7"/>
      <c r="AE64" s="13"/>
      <c r="AI64" s="13"/>
      <c r="AJ64" s="13">
        <f>AJ63/2.82</f>
        <v>38.97278549232459</v>
      </c>
      <c r="AK64" s="13">
        <f>STDEV(AK56:AK63)</f>
        <v>89.343277132730563</v>
      </c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X64" s="4">
        <f>STDEV(AX56:AX62)</f>
        <v>86.455198317880715</v>
      </c>
      <c r="AZ64" s="4">
        <f>STDEV(AZ56:AZ62)</f>
        <v>75.158305613023813</v>
      </c>
    </row>
    <row r="65" spans="1:52">
      <c r="W65" s="5">
        <f>W64/2.82</f>
        <v>19.234417574115898</v>
      </c>
      <c r="X65" s="5">
        <f>X64/2.82</f>
        <v>16.020721723265478</v>
      </c>
      <c r="AJ65" s="5">
        <f>AJ64/2.82</f>
        <v>13.820136699405884</v>
      </c>
      <c r="AK65" s="5">
        <f>AK64/2.82</f>
        <v>31.682013167634953</v>
      </c>
      <c r="AR65" s="7"/>
      <c r="AS65" s="5"/>
      <c r="AT65" s="5"/>
      <c r="AX65" s="4">
        <f>AX64/2.82</f>
        <v>30.657871743929334</v>
      </c>
      <c r="AZ65" s="4">
        <f>AZ64/2.82</f>
        <v>26.651881423058093</v>
      </c>
    </row>
    <row r="66" spans="1:5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52">
      <c r="A67"/>
      <c r="B67"/>
      <c r="C67" t="s">
        <v>37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5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5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5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5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5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5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5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52" ht="20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5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5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5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5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5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</sheetData>
  <mergeCells count="20">
    <mergeCell ref="B1:E1"/>
    <mergeCell ref="N1:Q1"/>
    <mergeCell ref="AA1:AD1"/>
    <mergeCell ref="AN1:AQ1"/>
    <mergeCell ref="B14:E14"/>
    <mergeCell ref="N14:Q14"/>
    <mergeCell ref="AA14:AD14"/>
    <mergeCell ref="AN14:AQ14"/>
    <mergeCell ref="B53:E53"/>
    <mergeCell ref="N53:Q53"/>
    <mergeCell ref="AA53:AD53"/>
    <mergeCell ref="AN53:AQ53"/>
    <mergeCell ref="B27:E27"/>
    <mergeCell ref="N27:Q27"/>
    <mergeCell ref="AA27:AD27"/>
    <mergeCell ref="AN27:AQ27"/>
    <mergeCell ref="B40:E40"/>
    <mergeCell ref="N40:Q40"/>
    <mergeCell ref="AA40:AD40"/>
    <mergeCell ref="AN40:AQ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Hang time raw data</vt:lpstr>
      <vt:lpstr>Hang time mean, max etc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Marston</dc:creator>
  <cp:lastModifiedBy>Steve Winder</cp:lastModifiedBy>
  <dcterms:created xsi:type="dcterms:W3CDTF">2017-09-29T09:28:07Z</dcterms:created>
  <dcterms:modified xsi:type="dcterms:W3CDTF">2018-03-05T13:49:15Z</dcterms:modified>
</cp:coreProperties>
</file>